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Sellest_töövihikust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bd6d61a559a3f6d/NVK meetmed ja taotlusvoorud 2023-2027^M/"/>
    </mc:Choice>
  </mc:AlternateContent>
  <xr:revisionPtr revIDLastSave="1" documentId="8_{771BC322-AB82-4552-AD96-EEB40D195425}" xr6:coauthVersionLast="47" xr6:coauthVersionMax="47" xr10:uidLastSave="{29C31A79-8036-4129-BAB2-BE449B7FC66C}"/>
  <bookViews>
    <workbookView xWindow="-108" yWindow="-108" windowWidth="23256" windowHeight="12456" activeTab="2" xr2:uid="{00000000-000D-0000-FFFF-FFFF00000000}"/>
  </bookViews>
  <sheets>
    <sheet name="Alusta siit!" sheetId="14" r:id="rId1"/>
    <sheet name="Tooted" sheetId="17" r:id="rId2"/>
    <sheet name="Rahavood" sheetId="13" r:id="rId3"/>
    <sheet name="Kasumiaruanne" sheetId="15" r:id="rId4"/>
    <sheet name="Bilanss" sheetId="16" r:id="rId5"/>
    <sheet name="Töötajad" sheetId="18" r:id="rId6"/>
  </sheets>
  <definedNames>
    <definedName name="kohu1">Bilanss!$B$29:$B$34</definedName>
    <definedName name="kohu2">Bilanss!$B$31:$B$34</definedName>
    <definedName name="_xlnm.Print_Area" localSheetId="3">Kasumiaruanne!$A$1:$F$54</definedName>
    <definedName name="_xlnm.Print_Area" localSheetId="2">Rahavood!$A$3:$Q$75</definedName>
    <definedName name="_xlnm.Print_Area" localSheetId="1">Tooted!$A$1:$U$61</definedName>
    <definedName name="_xlnm.Print_Titles" localSheetId="2">Rahavood!$A:$A,Rahavood!$1:$2</definedName>
    <definedName name="_xlnm.Print_Titles" localSheetId="1">Tooted!$A:$D,Tooted!$1:$1</definedName>
    <definedName name="raha1">Bilanss!$B$6:$B$11</definedName>
    <definedName name="raha2">Bilanss!$B$7:$B$11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1" i="13" l="1"/>
  <c r="N16" i="17"/>
  <c r="M16" i="17"/>
  <c r="H21" i="17"/>
  <c r="C38" i="16" l="1"/>
  <c r="R6" i="17"/>
  <c r="S2" i="17"/>
  <c r="R2" i="17"/>
  <c r="S6" i="17"/>
  <c r="B12" i="16" l="1"/>
  <c r="B21" i="16"/>
  <c r="B35" i="16"/>
  <c r="B47" i="16" s="1"/>
  <c r="B39" i="16"/>
  <c r="B45" i="16"/>
  <c r="W5" i="17"/>
  <c r="B23" i="16" l="1"/>
  <c r="M65" i="13"/>
  <c r="N65" i="13" s="1"/>
  <c r="N22" i="13"/>
  <c r="M66" i="13" s="1"/>
  <c r="N66" i="13" s="1"/>
  <c r="N21" i="13"/>
  <c r="C30" i="16"/>
  <c r="C37" i="16" s="1"/>
  <c r="D37" i="16" s="1"/>
  <c r="E37" i="16" s="1"/>
  <c r="D30" i="16"/>
  <c r="E30" i="16"/>
  <c r="F30" i="16"/>
  <c r="D10" i="15"/>
  <c r="E10" i="15"/>
  <c r="C29" i="16" l="1"/>
  <c r="D29" i="16" s="1"/>
  <c r="E29" i="16" s="1"/>
  <c r="B36" i="13"/>
  <c r="S5" i="17"/>
  <c r="R12" i="17" l="1"/>
  <c r="AM11" i="17"/>
  <c r="AL11" i="17"/>
  <c r="AK11" i="17"/>
  <c r="AM10" i="17"/>
  <c r="AL10" i="17"/>
  <c r="AK10" i="17"/>
  <c r="AM9" i="17"/>
  <c r="AL9" i="17"/>
  <c r="AK9" i="17"/>
  <c r="AM8" i="17"/>
  <c r="AL8" i="17"/>
  <c r="AK8" i="17"/>
  <c r="AM7" i="17"/>
  <c r="AL7" i="17"/>
  <c r="AK7" i="17"/>
  <c r="AM6" i="17"/>
  <c r="AL6" i="17"/>
  <c r="AK6" i="17"/>
  <c r="AM5" i="17"/>
  <c r="AL5" i="17"/>
  <c r="AK5" i="17"/>
  <c r="AM4" i="17"/>
  <c r="AL4" i="17"/>
  <c r="AK4" i="17"/>
  <c r="AM3" i="17"/>
  <c r="AL3" i="17"/>
  <c r="AK3" i="17"/>
  <c r="AK2" i="17"/>
  <c r="AI2" i="17"/>
  <c r="AH11" i="17"/>
  <c r="AG11" i="17"/>
  <c r="AF11" i="17"/>
  <c r="AE11" i="17"/>
  <c r="AD11" i="17"/>
  <c r="AC11" i="17"/>
  <c r="AB11" i="17"/>
  <c r="AA11" i="17"/>
  <c r="AH10" i="17"/>
  <c r="AG10" i="17"/>
  <c r="AF10" i="17"/>
  <c r="AE10" i="17"/>
  <c r="AD10" i="17"/>
  <c r="AC10" i="17"/>
  <c r="AB10" i="17"/>
  <c r="AA10" i="17"/>
  <c r="AH9" i="17"/>
  <c r="AG9" i="17"/>
  <c r="AF9" i="17"/>
  <c r="AE9" i="17"/>
  <c r="AD9" i="17"/>
  <c r="AC9" i="17"/>
  <c r="AB9" i="17"/>
  <c r="AA9" i="17"/>
  <c r="AH8" i="17"/>
  <c r="AG8" i="17"/>
  <c r="AF8" i="17"/>
  <c r="AE8" i="17"/>
  <c r="AD8" i="17"/>
  <c r="AC8" i="17"/>
  <c r="AB8" i="17"/>
  <c r="AA8" i="17"/>
  <c r="AH7" i="17"/>
  <c r="AG7" i="17"/>
  <c r="AF7" i="17"/>
  <c r="AE7" i="17"/>
  <c r="AD7" i="17"/>
  <c r="AC7" i="17"/>
  <c r="AB7" i="17"/>
  <c r="AA7" i="17"/>
  <c r="AH6" i="17"/>
  <c r="AG6" i="17"/>
  <c r="AF6" i="17"/>
  <c r="AE6" i="17"/>
  <c r="AD6" i="17"/>
  <c r="AC6" i="17"/>
  <c r="AB6" i="17"/>
  <c r="AA6" i="17"/>
  <c r="AH5" i="17"/>
  <c r="AG5" i="17"/>
  <c r="AF5" i="17"/>
  <c r="AE5" i="17"/>
  <c r="AD5" i="17"/>
  <c r="AC5" i="17"/>
  <c r="AB5" i="17"/>
  <c r="AA5" i="17"/>
  <c r="AH4" i="17"/>
  <c r="AG4" i="17"/>
  <c r="AF4" i="17"/>
  <c r="AE4" i="17"/>
  <c r="AD4" i="17"/>
  <c r="AC4" i="17"/>
  <c r="AB4" i="17"/>
  <c r="AA4" i="17"/>
  <c r="AH3" i="17"/>
  <c r="AG3" i="17"/>
  <c r="AF3" i="17"/>
  <c r="AE3" i="17"/>
  <c r="AD3" i="17"/>
  <c r="AC3" i="17"/>
  <c r="AB3" i="17"/>
  <c r="AA3" i="17"/>
  <c r="AH2" i="17"/>
  <c r="AG2" i="17"/>
  <c r="AF2" i="17"/>
  <c r="AE2" i="17"/>
  <c r="AD2" i="17"/>
  <c r="AC2" i="17"/>
  <c r="AB2" i="17"/>
  <c r="AA2" i="17"/>
  <c r="Z11" i="17"/>
  <c r="Z10" i="17"/>
  <c r="Z9" i="17"/>
  <c r="Z8" i="17"/>
  <c r="Z7" i="17"/>
  <c r="Z6" i="17"/>
  <c r="Z5" i="17"/>
  <c r="Z4" i="17"/>
  <c r="Z3" i="17"/>
  <c r="Z2" i="17"/>
  <c r="Y11" i="17"/>
  <c r="Y10" i="17"/>
  <c r="Y9" i="17"/>
  <c r="Y8" i="17"/>
  <c r="Y7" i="17"/>
  <c r="Y6" i="17"/>
  <c r="Y5" i="17"/>
  <c r="Y4" i="17"/>
  <c r="Y3" i="17"/>
  <c r="Y2" i="17"/>
  <c r="X11" i="17"/>
  <c r="X10" i="17"/>
  <c r="X9" i="17"/>
  <c r="X8" i="17"/>
  <c r="X7" i="17"/>
  <c r="X6" i="17"/>
  <c r="X4" i="17"/>
  <c r="X3" i="17"/>
  <c r="X2" i="17"/>
  <c r="F9" i="17" s="1"/>
  <c r="W11" i="17"/>
  <c r="W10" i="17"/>
  <c r="W9" i="17"/>
  <c r="W8" i="17"/>
  <c r="W7" i="17"/>
  <c r="W6" i="17"/>
  <c r="W4" i="17"/>
  <c r="W3" i="17"/>
  <c r="W2" i="17"/>
  <c r="E9" i="17" s="1"/>
  <c r="N54" i="13" l="1"/>
  <c r="N48" i="13"/>
  <c r="N49" i="13"/>
  <c r="B2" i="13"/>
  <c r="C2" i="13" s="1"/>
  <c r="D2" i="13" s="1"/>
  <c r="E2" i="13" s="1"/>
  <c r="F2" i="13" s="1"/>
  <c r="G2" i="13" s="1"/>
  <c r="H2" i="13" s="1"/>
  <c r="I2" i="13" s="1"/>
  <c r="J2" i="13" s="1"/>
  <c r="K2" i="13" s="1"/>
  <c r="L2" i="13" s="1"/>
  <c r="M2" i="13" s="1"/>
  <c r="U2" i="17"/>
  <c r="U4" i="17" s="1"/>
  <c r="U5" i="17"/>
  <c r="U6" i="17"/>
  <c r="U7" i="17" s="1"/>
  <c r="U16" i="17"/>
  <c r="U21" i="17"/>
  <c r="U26" i="17"/>
  <c r="U31" i="17"/>
  <c r="U36" i="17"/>
  <c r="U41" i="17"/>
  <c r="U46" i="17"/>
  <c r="U51" i="17"/>
  <c r="U56" i="17"/>
  <c r="U61" i="17"/>
  <c r="F1" i="17"/>
  <c r="G1" i="17" s="1"/>
  <c r="H1" i="17" s="1"/>
  <c r="I1" i="17" s="1"/>
  <c r="J1" i="17" s="1"/>
  <c r="K1" i="17" s="1"/>
  <c r="L1" i="17" s="1"/>
  <c r="M1" i="17" s="1"/>
  <c r="N1" i="17" s="1"/>
  <c r="O1" i="17" s="1"/>
  <c r="P1" i="17" s="1"/>
  <c r="Q1" i="17" s="1"/>
  <c r="U10" i="17" l="1"/>
  <c r="U3" i="17"/>
  <c r="G81" i="13" l="1"/>
  <c r="C81" i="13"/>
  <c r="D81" i="13"/>
  <c r="B81" i="13"/>
  <c r="E79" i="13"/>
  <c r="D79" i="13"/>
  <c r="C79" i="13"/>
  <c r="B79" i="13"/>
  <c r="B13" i="15" l="1"/>
  <c r="M21" i="17" l="1"/>
  <c r="B22" i="15" l="1"/>
  <c r="B20" i="15"/>
  <c r="B11" i="15" l="1"/>
  <c r="B54" i="15" l="1"/>
  <c r="B37" i="15"/>
  <c r="B45" i="15" s="1"/>
  <c r="B51" i="15" s="1"/>
  <c r="B15" i="18"/>
  <c r="B52" i="15" s="1"/>
  <c r="B50" i="15" l="1"/>
  <c r="B53" i="15" l="1"/>
  <c r="D78" i="13"/>
  <c r="E78" i="13"/>
  <c r="F78" i="13"/>
  <c r="G78" i="13"/>
  <c r="H78" i="13"/>
  <c r="I78" i="13"/>
  <c r="J78" i="13"/>
  <c r="K78" i="13"/>
  <c r="L78" i="13"/>
  <c r="M78" i="13"/>
  <c r="B78" i="13"/>
  <c r="C78" i="13"/>
  <c r="D12" i="15"/>
  <c r="E12" i="15"/>
  <c r="F12" i="15"/>
  <c r="O78" i="13"/>
  <c r="P78" i="13"/>
  <c r="Q78" i="13"/>
  <c r="C84" i="13"/>
  <c r="C46" i="13"/>
  <c r="D46" i="13"/>
  <c r="E46" i="13"/>
  <c r="F46" i="13"/>
  <c r="G46" i="13"/>
  <c r="H46" i="13"/>
  <c r="I46" i="13"/>
  <c r="J46" i="13"/>
  <c r="K46" i="13"/>
  <c r="L46" i="13"/>
  <c r="M46" i="13"/>
  <c r="B46" i="13"/>
  <c r="O58" i="13"/>
  <c r="D35" i="15" s="1"/>
  <c r="Q58" i="13"/>
  <c r="P58" i="13"/>
  <c r="E35" i="15" s="1"/>
  <c r="N57" i="13"/>
  <c r="C34" i="15" s="1"/>
  <c r="Q59" i="13"/>
  <c r="F36" i="15" s="1"/>
  <c r="P59" i="13"/>
  <c r="E36" i="15" s="1"/>
  <c r="N26" i="13"/>
  <c r="M59" i="13"/>
  <c r="L59" i="13"/>
  <c r="K59" i="13"/>
  <c r="J59" i="13"/>
  <c r="I59" i="13"/>
  <c r="H59" i="13"/>
  <c r="G59" i="13"/>
  <c r="F59" i="13"/>
  <c r="E59" i="13"/>
  <c r="D59" i="13"/>
  <c r="C59" i="13"/>
  <c r="F21" i="15"/>
  <c r="F2" i="15"/>
  <c r="F16" i="17"/>
  <c r="AI11" i="17"/>
  <c r="AI10" i="17"/>
  <c r="AI9" i="17"/>
  <c r="AI8" i="17"/>
  <c r="AI7" i="17"/>
  <c r="AI6" i="17"/>
  <c r="AI5" i="17"/>
  <c r="AI3" i="17"/>
  <c r="C15" i="18"/>
  <c r="C52" i="15" s="1"/>
  <c r="E15" i="18"/>
  <c r="E52" i="15" s="1"/>
  <c r="E53" i="15" s="1"/>
  <c r="C42" i="16"/>
  <c r="D87" i="13"/>
  <c r="D89" i="13" s="1"/>
  <c r="E87" i="13"/>
  <c r="E89" i="13" s="1"/>
  <c r="F87" i="13"/>
  <c r="F89" i="13" s="1"/>
  <c r="G87" i="13"/>
  <c r="G89" i="13" s="1"/>
  <c r="H87" i="13"/>
  <c r="H89" i="13" s="1"/>
  <c r="I87" i="13"/>
  <c r="I89" i="13" s="1"/>
  <c r="J87" i="13"/>
  <c r="J89" i="13" s="1"/>
  <c r="K87" i="13"/>
  <c r="K89" i="13" s="1"/>
  <c r="L87" i="13"/>
  <c r="L89" i="13" s="1"/>
  <c r="M87" i="13"/>
  <c r="M89" i="13" s="1"/>
  <c r="C87" i="13"/>
  <c r="C89" i="13" s="1"/>
  <c r="B87" i="13"/>
  <c r="B89" i="13" s="1"/>
  <c r="Q87" i="13"/>
  <c r="D15" i="18"/>
  <c r="D52" i="15" s="1"/>
  <c r="D53" i="15" s="1"/>
  <c r="F15" i="18"/>
  <c r="F52" i="15" s="1"/>
  <c r="P46" i="13"/>
  <c r="Q46" i="13"/>
  <c r="O46" i="13"/>
  <c r="N44" i="13"/>
  <c r="F2" i="18"/>
  <c r="D2" i="18"/>
  <c r="E2" i="18"/>
  <c r="C2" i="18"/>
  <c r="A14" i="18"/>
  <c r="A13" i="18"/>
  <c r="A12" i="18"/>
  <c r="A11" i="18"/>
  <c r="A10" i="18"/>
  <c r="A9" i="18"/>
  <c r="A8" i="18"/>
  <c r="A7" i="18"/>
  <c r="A6" i="18"/>
  <c r="A5" i="18"/>
  <c r="A4" i="18"/>
  <c r="A3" i="18"/>
  <c r="A40" i="15"/>
  <c r="A38" i="15"/>
  <c r="A35" i="15"/>
  <c r="A36" i="15"/>
  <c r="A34" i="15"/>
  <c r="A32" i="15"/>
  <c r="A31" i="15"/>
  <c r="A30" i="15"/>
  <c r="A29" i="15"/>
  <c r="A26" i="15"/>
  <c r="A27" i="15"/>
  <c r="A25" i="15"/>
  <c r="A19" i="15"/>
  <c r="A18" i="15"/>
  <c r="O35" i="13"/>
  <c r="P35" i="13"/>
  <c r="Q35" i="13"/>
  <c r="N24" i="13"/>
  <c r="N35" i="13" s="1"/>
  <c r="C35" i="13"/>
  <c r="D35" i="13"/>
  <c r="E35" i="13"/>
  <c r="F35" i="13"/>
  <c r="G35" i="13"/>
  <c r="H35" i="13"/>
  <c r="I35" i="13"/>
  <c r="J35" i="13"/>
  <c r="K35" i="13"/>
  <c r="L35" i="13"/>
  <c r="M35" i="13"/>
  <c r="B35" i="13"/>
  <c r="C2" i="16"/>
  <c r="D2" i="16"/>
  <c r="E2" i="16"/>
  <c r="F2" i="16"/>
  <c r="C2" i="15"/>
  <c r="D2" i="15"/>
  <c r="E2" i="15"/>
  <c r="F10" i="15"/>
  <c r="D19" i="15"/>
  <c r="E19" i="15"/>
  <c r="F19" i="15"/>
  <c r="D21" i="15"/>
  <c r="E21" i="15"/>
  <c r="D25" i="15"/>
  <c r="E25" i="15"/>
  <c r="F25" i="15"/>
  <c r="D26" i="15"/>
  <c r="E26" i="15"/>
  <c r="F26" i="15"/>
  <c r="D27" i="15"/>
  <c r="E27" i="15"/>
  <c r="F27" i="15"/>
  <c r="D29" i="15"/>
  <c r="E29" i="15"/>
  <c r="F29" i="15"/>
  <c r="D30" i="15"/>
  <c r="E30" i="15"/>
  <c r="F30" i="15"/>
  <c r="D31" i="15"/>
  <c r="E31" i="15"/>
  <c r="F31" i="15"/>
  <c r="D32" i="15"/>
  <c r="E32" i="15"/>
  <c r="F32" i="15"/>
  <c r="D34" i="15"/>
  <c r="E34" i="15"/>
  <c r="F34" i="15"/>
  <c r="D38" i="15"/>
  <c r="E38" i="15"/>
  <c r="F38" i="15"/>
  <c r="D40" i="15"/>
  <c r="E40" i="15"/>
  <c r="F40" i="15"/>
  <c r="D48" i="15"/>
  <c r="E48" i="15"/>
  <c r="F48" i="15"/>
  <c r="B4" i="13"/>
  <c r="N4" i="13" s="1"/>
  <c r="N18" i="13"/>
  <c r="C10" i="15" s="1"/>
  <c r="N20" i="13"/>
  <c r="C41" i="16" s="1"/>
  <c r="D41" i="16" s="1"/>
  <c r="E41" i="16" s="1"/>
  <c r="F41" i="16" s="1"/>
  <c r="N23" i="13"/>
  <c r="N25" i="13"/>
  <c r="N27" i="13"/>
  <c r="N33" i="13"/>
  <c r="Q79" i="13" s="1"/>
  <c r="B34" i="13"/>
  <c r="C34" i="13"/>
  <c r="D34" i="13"/>
  <c r="E34" i="13"/>
  <c r="F34" i="13"/>
  <c r="G34" i="13"/>
  <c r="H34" i="13"/>
  <c r="I34" i="13"/>
  <c r="J34" i="13"/>
  <c r="K34" i="13"/>
  <c r="L34" i="13"/>
  <c r="M34" i="13"/>
  <c r="O34" i="13"/>
  <c r="P34" i="13"/>
  <c r="Q34" i="13"/>
  <c r="C36" i="13"/>
  <c r="D36" i="13"/>
  <c r="E36" i="13"/>
  <c r="F36" i="13"/>
  <c r="G36" i="13"/>
  <c r="H36" i="13"/>
  <c r="I36" i="13"/>
  <c r="J36" i="13"/>
  <c r="K36" i="13"/>
  <c r="L36" i="13"/>
  <c r="M36" i="13"/>
  <c r="O36" i="13"/>
  <c r="P36" i="13"/>
  <c r="Q36" i="13"/>
  <c r="N37" i="13"/>
  <c r="N42" i="13"/>
  <c r="C19" i="15" s="1"/>
  <c r="N43" i="13"/>
  <c r="C21" i="15" s="1"/>
  <c r="C25" i="15"/>
  <c r="C26" i="15"/>
  <c r="N50" i="13"/>
  <c r="C27" i="15" s="1"/>
  <c r="N52" i="13"/>
  <c r="C29" i="15" s="1"/>
  <c r="N53" i="13"/>
  <c r="C30" i="15" s="1"/>
  <c r="C31" i="15"/>
  <c r="N55" i="13"/>
  <c r="C32" i="15" s="1"/>
  <c r="C58" i="13"/>
  <c r="D58" i="13"/>
  <c r="E58" i="13"/>
  <c r="F58" i="13"/>
  <c r="G58" i="13"/>
  <c r="H58" i="13"/>
  <c r="I58" i="13"/>
  <c r="J58" i="13"/>
  <c r="K58" i="13"/>
  <c r="L58" i="13"/>
  <c r="M58" i="13"/>
  <c r="N60" i="13"/>
  <c r="C38" i="15" s="1"/>
  <c r="N62" i="13"/>
  <c r="C40" i="15" s="1"/>
  <c r="F29" i="16"/>
  <c r="N67" i="13"/>
  <c r="C48" i="15" s="1"/>
  <c r="N69" i="13"/>
  <c r="B71" i="13"/>
  <c r="N71" i="13" s="1"/>
  <c r="N73" i="13"/>
  <c r="N74" i="13"/>
  <c r="B83" i="13"/>
  <c r="C83" i="13"/>
  <c r="E83" i="13"/>
  <c r="F79" i="13"/>
  <c r="F83" i="13" s="1"/>
  <c r="G79" i="13"/>
  <c r="G83" i="13" s="1"/>
  <c r="H79" i="13"/>
  <c r="H83" i="13" s="1"/>
  <c r="I79" i="13"/>
  <c r="I83" i="13" s="1"/>
  <c r="J79" i="13"/>
  <c r="J83" i="13" s="1"/>
  <c r="K79" i="13"/>
  <c r="K83" i="13" s="1"/>
  <c r="L79" i="13"/>
  <c r="L83" i="13" s="1"/>
  <c r="M79" i="13"/>
  <c r="M83" i="13" s="1"/>
  <c r="B84" i="13"/>
  <c r="D84" i="13"/>
  <c r="E81" i="13"/>
  <c r="E84" i="13" s="1"/>
  <c r="F81" i="13"/>
  <c r="F84" i="13" s="1"/>
  <c r="G84" i="13"/>
  <c r="H81" i="13"/>
  <c r="H84" i="13" s="1"/>
  <c r="I81" i="13"/>
  <c r="I84" i="13" s="1"/>
  <c r="J81" i="13"/>
  <c r="J84" i="13" s="1"/>
  <c r="K81" i="13"/>
  <c r="K84" i="13" s="1"/>
  <c r="L81" i="13"/>
  <c r="L84" i="13" s="1"/>
  <c r="M81" i="13"/>
  <c r="N81" i="13" s="1"/>
  <c r="C16" i="16" s="1"/>
  <c r="D83" i="13"/>
  <c r="X1" i="17"/>
  <c r="Y1" i="17"/>
  <c r="Z1" i="17"/>
  <c r="AA1" i="17"/>
  <c r="AB1" i="17"/>
  <c r="AC1" i="17"/>
  <c r="AD1" i="17"/>
  <c r="AE1" i="17"/>
  <c r="AF1" i="17"/>
  <c r="AG1" i="17"/>
  <c r="AH1" i="17"/>
  <c r="AI1" i="17"/>
  <c r="AJ1" i="17"/>
  <c r="AK1" i="17"/>
  <c r="AL1" i="17"/>
  <c r="AM1" i="17"/>
  <c r="E2" i="17"/>
  <c r="F2" i="17"/>
  <c r="B10" i="13" s="1"/>
  <c r="G2" i="17"/>
  <c r="C10" i="13" s="1"/>
  <c r="H2" i="17"/>
  <c r="I2" i="17"/>
  <c r="E10" i="13" s="1"/>
  <c r="J2" i="17"/>
  <c r="F10" i="13" s="1"/>
  <c r="K2" i="17"/>
  <c r="G10" i="13" s="1"/>
  <c r="L2" i="17"/>
  <c r="M2" i="17"/>
  <c r="I10" i="13" s="1"/>
  <c r="N2" i="17"/>
  <c r="O2" i="17"/>
  <c r="P2" i="17"/>
  <c r="L10" i="13" s="1"/>
  <c r="Q2" i="17"/>
  <c r="T2" i="17"/>
  <c r="P10" i="13" s="1"/>
  <c r="E8" i="15" s="1"/>
  <c r="E5" i="17"/>
  <c r="F5" i="17"/>
  <c r="G5" i="17"/>
  <c r="R5" i="17" s="1"/>
  <c r="H5" i="17"/>
  <c r="I5" i="17"/>
  <c r="J5" i="17"/>
  <c r="K5" i="17"/>
  <c r="L5" i="17"/>
  <c r="M5" i="17"/>
  <c r="N5" i="17"/>
  <c r="O5" i="17"/>
  <c r="P5" i="17"/>
  <c r="Q5" i="17"/>
  <c r="D18" i="15"/>
  <c r="T5" i="17"/>
  <c r="E18" i="15" s="1"/>
  <c r="F18" i="15"/>
  <c r="E6" i="17"/>
  <c r="E7" i="17" s="1"/>
  <c r="F6" i="17"/>
  <c r="F7" i="17" s="1"/>
  <c r="G6" i="17"/>
  <c r="G7" i="17" s="1"/>
  <c r="H6" i="17"/>
  <c r="H7" i="17" s="1"/>
  <c r="I6" i="17"/>
  <c r="I7" i="17" s="1"/>
  <c r="J6" i="17"/>
  <c r="K6" i="17"/>
  <c r="K7" i="17" s="1"/>
  <c r="L6" i="17"/>
  <c r="L7" i="17" s="1"/>
  <c r="M6" i="17"/>
  <c r="M7" i="17" s="1"/>
  <c r="N6" i="17"/>
  <c r="O6" i="17"/>
  <c r="O7" i="17" s="1"/>
  <c r="P6" i="17"/>
  <c r="P7" i="17" s="1"/>
  <c r="Q6" i="17"/>
  <c r="Q7" i="17" s="1"/>
  <c r="S7" i="17"/>
  <c r="T6" i="17"/>
  <c r="T7" i="17" s="1"/>
  <c r="U8" i="17" s="1"/>
  <c r="E16" i="17"/>
  <c r="G16" i="17"/>
  <c r="H16" i="17"/>
  <c r="I16" i="17"/>
  <c r="J16" i="17"/>
  <c r="K16" i="17"/>
  <c r="L16" i="17"/>
  <c r="O16" i="17"/>
  <c r="P16" i="17"/>
  <c r="Q16" i="17"/>
  <c r="AL2" i="17" s="1"/>
  <c r="S16" i="17"/>
  <c r="T16" i="17"/>
  <c r="R17" i="17"/>
  <c r="E21" i="17"/>
  <c r="F21" i="17"/>
  <c r="G21" i="17"/>
  <c r="I21" i="17"/>
  <c r="J21" i="17"/>
  <c r="K21" i="17"/>
  <c r="L21" i="17"/>
  <c r="N21" i="17"/>
  <c r="O21" i="17"/>
  <c r="P21" i="17"/>
  <c r="Q21" i="17"/>
  <c r="S21" i="17"/>
  <c r="T21" i="17"/>
  <c r="R22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AI4" i="17" s="1"/>
  <c r="S26" i="17"/>
  <c r="T26" i="17"/>
  <c r="R27" i="17"/>
  <c r="E31" i="17"/>
  <c r="F31" i="17"/>
  <c r="X5" i="17" s="1"/>
  <c r="G31" i="17"/>
  <c r="H31" i="17"/>
  <c r="I31" i="17"/>
  <c r="J31" i="17"/>
  <c r="K31" i="17"/>
  <c r="L31" i="17"/>
  <c r="M31" i="17"/>
  <c r="N31" i="17"/>
  <c r="O31" i="17"/>
  <c r="P31" i="17"/>
  <c r="Q31" i="17"/>
  <c r="S31" i="17"/>
  <c r="T31" i="17"/>
  <c r="R32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S36" i="17"/>
  <c r="T36" i="17"/>
  <c r="R37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S41" i="17"/>
  <c r="T41" i="17"/>
  <c r="R42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S46" i="17"/>
  <c r="T46" i="17"/>
  <c r="R47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S51" i="17"/>
  <c r="T51" i="17"/>
  <c r="R52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S56" i="17"/>
  <c r="T56" i="17"/>
  <c r="R57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S61" i="17"/>
  <c r="T61" i="17"/>
  <c r="C88" i="13"/>
  <c r="C90" i="13" s="1"/>
  <c r="F35" i="15"/>
  <c r="O10" i="13" l="1"/>
  <c r="D8" i="15" s="1"/>
  <c r="S4" i="17"/>
  <c r="F8" i="17"/>
  <c r="R7" i="17"/>
  <c r="S8" i="17"/>
  <c r="O41" i="13" s="1"/>
  <c r="O63" i="13" s="1"/>
  <c r="B80" i="13"/>
  <c r="B86" i="13" s="1"/>
  <c r="C43" i="16"/>
  <c r="G88" i="13"/>
  <c r="G90" i="13" s="1"/>
  <c r="I82" i="13"/>
  <c r="I85" i="13" s="1"/>
  <c r="Q89" i="13"/>
  <c r="AJ5" i="17"/>
  <c r="M82" i="13"/>
  <c r="M85" i="13" s="1"/>
  <c r="I80" i="13"/>
  <c r="I86" i="13" s="1"/>
  <c r="L9" i="17"/>
  <c r="I3" i="17"/>
  <c r="C82" i="13"/>
  <c r="C85" i="13" s="1"/>
  <c r="O59" i="13"/>
  <c r="D36" i="15" s="1"/>
  <c r="D37" i="15" s="1"/>
  <c r="Q10" i="13"/>
  <c r="F8" i="15" s="1"/>
  <c r="P8" i="17"/>
  <c r="L41" i="13" s="1"/>
  <c r="L63" i="13" s="1"/>
  <c r="O87" i="13"/>
  <c r="P87" i="13"/>
  <c r="P89" i="13" s="1"/>
  <c r="F80" i="13"/>
  <c r="F86" i="13" s="1"/>
  <c r="L80" i="13"/>
  <c r="L86" i="13" s="1"/>
  <c r="J82" i="13"/>
  <c r="J85" i="13" s="1"/>
  <c r="K88" i="13"/>
  <c r="K90" i="13" s="1"/>
  <c r="AJ3" i="17"/>
  <c r="AJ6" i="17"/>
  <c r="I10" i="17"/>
  <c r="E9" i="13" s="1"/>
  <c r="E8" i="13" s="1"/>
  <c r="R61" i="17"/>
  <c r="R51" i="17"/>
  <c r="N79" i="13"/>
  <c r="C15" i="16" s="1"/>
  <c r="N36" i="13"/>
  <c r="O82" i="13" s="1"/>
  <c r="O85" i="13" s="1"/>
  <c r="G82" i="13"/>
  <c r="G85" i="13" s="1"/>
  <c r="M3" i="17"/>
  <c r="I7" i="13" s="1"/>
  <c r="E8" i="17"/>
  <c r="R46" i="17"/>
  <c r="N3" i="17"/>
  <c r="J7" i="13" s="1"/>
  <c r="J6" i="13" s="1"/>
  <c r="J3" i="17"/>
  <c r="F7" i="13" s="1"/>
  <c r="E10" i="17"/>
  <c r="M8" i="17"/>
  <c r="I41" i="13" s="1"/>
  <c r="I63" i="13" s="1"/>
  <c r="H8" i="17"/>
  <c r="D41" i="13" s="1"/>
  <c r="D63" i="13" s="1"/>
  <c r="L8" i="17"/>
  <c r="H41" i="13" s="1"/>
  <c r="H63" i="13" s="1"/>
  <c r="D10" i="13"/>
  <c r="K9" i="17"/>
  <c r="H16" i="13" s="1"/>
  <c r="G9" i="17"/>
  <c r="AJ11" i="17"/>
  <c r="F20" i="15"/>
  <c r="M84" i="13"/>
  <c r="N84" i="13" s="1"/>
  <c r="C43" i="15" s="1"/>
  <c r="N46" i="13"/>
  <c r="F22" i="15"/>
  <c r="D82" i="13"/>
  <c r="D85" i="13" s="1"/>
  <c r="F3" i="17"/>
  <c r="B7" i="13" s="1"/>
  <c r="F37" i="15"/>
  <c r="C80" i="13"/>
  <c r="C86" i="13" s="1"/>
  <c r="E88" i="13"/>
  <c r="E90" i="13" s="1"/>
  <c r="I88" i="13"/>
  <c r="I90" i="13" s="1"/>
  <c r="R56" i="17"/>
  <c r="E3" i="17"/>
  <c r="E4" i="17" s="1"/>
  <c r="O3" i="17"/>
  <c r="K7" i="13" s="1"/>
  <c r="Q41" i="13"/>
  <c r="Q63" i="13" s="1"/>
  <c r="I8" i="17"/>
  <c r="E41" i="13" s="1"/>
  <c r="E63" i="13" s="1"/>
  <c r="H82" i="13"/>
  <c r="H85" i="13" s="1"/>
  <c r="L82" i="13"/>
  <c r="L85" i="13" s="1"/>
  <c r="M10" i="17"/>
  <c r="I9" i="13" s="1"/>
  <c r="I8" i="13" s="1"/>
  <c r="P9" i="17"/>
  <c r="K10" i="17"/>
  <c r="G9" i="13" s="1"/>
  <c r="G8" i="13" s="1"/>
  <c r="T8" i="17"/>
  <c r="P41" i="13" s="1"/>
  <c r="P63" i="13" s="1"/>
  <c r="J10" i="13"/>
  <c r="F37" i="16"/>
  <c r="E22" i="15"/>
  <c r="N87" i="13"/>
  <c r="J9" i="17"/>
  <c r="E82" i="13"/>
  <c r="E85" i="13" s="1"/>
  <c r="K82" i="13"/>
  <c r="K85" i="13" s="1"/>
  <c r="Q7" i="13"/>
  <c r="F5" i="15" s="1"/>
  <c r="F13" i="15" s="1"/>
  <c r="C18" i="15"/>
  <c r="F82" i="13"/>
  <c r="F85" i="13" s="1"/>
  <c r="G10" i="17"/>
  <c r="C9" i="13" s="1"/>
  <c r="C8" i="13" s="1"/>
  <c r="L3" i="17"/>
  <c r="H7" i="13" s="1"/>
  <c r="H6" i="13" s="1"/>
  <c r="G8" i="17"/>
  <c r="C41" i="13" s="1"/>
  <c r="C63" i="13" s="1"/>
  <c r="P81" i="13"/>
  <c r="P84" i="13" s="1"/>
  <c r="E43" i="15" s="1"/>
  <c r="D22" i="15"/>
  <c r="B82" i="13"/>
  <c r="B85" i="13" s="1"/>
  <c r="M9" i="17"/>
  <c r="Q8" i="17"/>
  <c r="F46" i="15"/>
  <c r="E37" i="15"/>
  <c r="E20" i="15"/>
  <c r="D20" i="15"/>
  <c r="R31" i="17"/>
  <c r="H10" i="17"/>
  <c r="D9" i="13" s="1"/>
  <c r="D8" i="13" s="1"/>
  <c r="H9" i="17"/>
  <c r="D16" i="13" s="1"/>
  <c r="F15" i="16"/>
  <c r="Q83" i="13"/>
  <c r="F42" i="15" s="1"/>
  <c r="O79" i="13"/>
  <c r="P79" i="13"/>
  <c r="K3" i="17"/>
  <c r="G7" i="13" s="1"/>
  <c r="R16" i="17"/>
  <c r="N58" i="13"/>
  <c r="C35" i="15" s="1"/>
  <c r="AJ4" i="17"/>
  <c r="N10" i="17"/>
  <c r="J9" i="13" s="1"/>
  <c r="J8" i="13" s="1"/>
  <c r="Q9" i="13"/>
  <c r="J7" i="17"/>
  <c r="K8" i="17" s="1"/>
  <c r="G41" i="13" s="1"/>
  <c r="G63" i="13" s="1"/>
  <c r="J8" i="17"/>
  <c r="F41" i="13" s="1"/>
  <c r="F63" i="13" s="1"/>
  <c r="H80" i="13"/>
  <c r="H86" i="13" s="1"/>
  <c r="D80" i="13"/>
  <c r="D86" i="13" s="1"/>
  <c r="E80" i="13"/>
  <c r="E86" i="13" s="1"/>
  <c r="N34" i="13"/>
  <c r="K80" i="13"/>
  <c r="K86" i="13" s="1"/>
  <c r="G80" i="13"/>
  <c r="G86" i="13" s="1"/>
  <c r="J80" i="13"/>
  <c r="J86" i="13" s="1"/>
  <c r="M80" i="13"/>
  <c r="AJ2" i="17"/>
  <c r="T9" i="17"/>
  <c r="T10" i="17"/>
  <c r="P9" i="13" s="1"/>
  <c r="S3" i="17"/>
  <c r="S10" i="17"/>
  <c r="N7" i="17"/>
  <c r="O8" i="17" s="1"/>
  <c r="K41" i="13" s="1"/>
  <c r="K63" i="13" s="1"/>
  <c r="N8" i="17"/>
  <c r="J41" i="13" s="1"/>
  <c r="J63" i="13" s="1"/>
  <c r="K10" i="13"/>
  <c r="O4" i="17"/>
  <c r="K11" i="13" s="1"/>
  <c r="H10" i="13"/>
  <c r="L4" i="17"/>
  <c r="H11" i="13" s="1"/>
  <c r="R36" i="17"/>
  <c r="Q3" i="17"/>
  <c r="J10" i="17"/>
  <c r="F9" i="13" s="1"/>
  <c r="F8" i="13" s="1"/>
  <c r="M10" i="13"/>
  <c r="C22" i="15"/>
  <c r="O81" i="13"/>
  <c r="N59" i="13"/>
  <c r="C36" i="15" s="1"/>
  <c r="C12" i="15"/>
  <c r="N78" i="13"/>
  <c r="R41" i="17"/>
  <c r="Q10" i="17"/>
  <c r="R26" i="17"/>
  <c r="P10" i="17"/>
  <c r="L9" i="13" s="1"/>
  <c r="L8" i="13" s="1"/>
  <c r="P3" i="17"/>
  <c r="L7" i="13" s="1"/>
  <c r="T3" i="17"/>
  <c r="N83" i="13"/>
  <c r="Q81" i="13"/>
  <c r="D88" i="13"/>
  <c r="D90" i="13" s="1"/>
  <c r="L88" i="13"/>
  <c r="L90" i="13" s="1"/>
  <c r="B88" i="13"/>
  <c r="B90" i="13" s="1"/>
  <c r="J88" i="13"/>
  <c r="J90" i="13" s="1"/>
  <c r="H88" i="13"/>
  <c r="H90" i="13" s="1"/>
  <c r="F88" i="13"/>
  <c r="F90" i="13" s="1"/>
  <c r="M88" i="13"/>
  <c r="Q9" i="17"/>
  <c r="O9" i="17"/>
  <c r="AJ8" i="17"/>
  <c r="F10" i="17"/>
  <c r="O10" i="17"/>
  <c r="K9" i="13" s="1"/>
  <c r="K8" i="13" s="1"/>
  <c r="R21" i="17"/>
  <c r="G3" i="17"/>
  <c r="G4" i="17" s="1"/>
  <c r="C11" i="13" s="1"/>
  <c r="L10" i="17"/>
  <c r="H9" i="13" s="1"/>
  <c r="H8" i="13" s="1"/>
  <c r="H3" i="17"/>
  <c r="D7" i="13" s="1"/>
  <c r="N89" i="13"/>
  <c r="I9" i="17"/>
  <c r="S9" i="17"/>
  <c r="AJ7" i="17"/>
  <c r="AJ9" i="17"/>
  <c r="AJ10" i="17"/>
  <c r="E7" i="13" l="1"/>
  <c r="E6" i="13" s="1"/>
  <c r="I4" i="17"/>
  <c r="E11" i="13" s="1"/>
  <c r="M4" i="17"/>
  <c r="I11" i="13" s="1"/>
  <c r="K4" i="17"/>
  <c r="G11" i="13" s="1"/>
  <c r="H4" i="17"/>
  <c r="D11" i="13" s="1"/>
  <c r="J4" i="17"/>
  <c r="F11" i="13" s="1"/>
  <c r="N4" i="17"/>
  <c r="J11" i="13" s="1"/>
  <c r="AM2" i="17"/>
  <c r="U9" i="17" s="1"/>
  <c r="Q16" i="13" s="1"/>
  <c r="I16" i="13"/>
  <c r="G16" i="13"/>
  <c r="N82" i="13"/>
  <c r="Q82" i="13"/>
  <c r="Q85" i="13" s="1"/>
  <c r="F4" i="17"/>
  <c r="B11" i="13" s="1"/>
  <c r="E16" i="13"/>
  <c r="N9" i="17"/>
  <c r="J16" i="13" s="1"/>
  <c r="F6" i="13"/>
  <c r="P82" i="13"/>
  <c r="P85" i="13" s="1"/>
  <c r="E16" i="16"/>
  <c r="I14" i="13"/>
  <c r="I15" i="13" s="1"/>
  <c r="Q11" i="13"/>
  <c r="P7" i="13"/>
  <c r="Q14" i="13" s="1"/>
  <c r="T4" i="17"/>
  <c r="P11" i="13" s="1"/>
  <c r="J14" i="13"/>
  <c r="J15" i="13" s="1"/>
  <c r="I6" i="13"/>
  <c r="O89" i="13"/>
  <c r="C20" i="15"/>
  <c r="N85" i="13"/>
  <c r="L16" i="13"/>
  <c r="P4" i="17"/>
  <c r="L11" i="13" s="1"/>
  <c r="K6" i="13"/>
  <c r="K14" i="13"/>
  <c r="K15" i="13" s="1"/>
  <c r="B6" i="13"/>
  <c r="B14" i="13"/>
  <c r="O7" i="13"/>
  <c r="D5" i="15" s="1"/>
  <c r="D13" i="15" s="1"/>
  <c r="O9" i="13"/>
  <c r="D6" i="15" s="1"/>
  <c r="M41" i="13"/>
  <c r="M63" i="13" s="1"/>
  <c r="M9" i="13"/>
  <c r="M8" i="13" s="1"/>
  <c r="M7" i="13"/>
  <c r="M14" i="13" s="1"/>
  <c r="M16" i="13"/>
  <c r="Q4" i="17"/>
  <c r="P16" i="13"/>
  <c r="N10" i="13"/>
  <c r="C8" i="15" s="1"/>
  <c r="D6" i="13"/>
  <c r="L14" i="13"/>
  <c r="L6" i="13"/>
  <c r="Q8" i="13"/>
  <c r="F6" i="15"/>
  <c r="F16" i="13"/>
  <c r="R10" i="17"/>
  <c r="B9" i="13"/>
  <c r="G14" i="13"/>
  <c r="G6" i="13"/>
  <c r="E15" i="16"/>
  <c r="P83" i="13"/>
  <c r="E42" i="15" s="1"/>
  <c r="M90" i="13"/>
  <c r="N90" i="13" s="1"/>
  <c r="N88" i="13"/>
  <c r="C42" i="15"/>
  <c r="C17" i="16"/>
  <c r="O84" i="13"/>
  <c r="D43" i="15" s="1"/>
  <c r="D16" i="16"/>
  <c r="E6" i="15"/>
  <c r="P8" i="13"/>
  <c r="M86" i="13"/>
  <c r="N86" i="13" s="1"/>
  <c r="N80" i="13"/>
  <c r="P80" i="13"/>
  <c r="Q80" i="13"/>
  <c r="O80" i="13"/>
  <c r="D15" i="16"/>
  <c r="O83" i="13"/>
  <c r="D42" i="15" s="1"/>
  <c r="Q88" i="13"/>
  <c r="O88" i="13"/>
  <c r="P88" i="13"/>
  <c r="F16" i="16"/>
  <c r="Q84" i="13"/>
  <c r="F43" i="15" s="1"/>
  <c r="F45" i="15" s="1"/>
  <c r="F50" i="15" s="1"/>
  <c r="H14" i="13"/>
  <c r="C7" i="13"/>
  <c r="R3" i="17"/>
  <c r="R4" i="17" s="1"/>
  <c r="O16" i="13"/>
  <c r="B16" i="13"/>
  <c r="C16" i="13"/>
  <c r="B63" i="13"/>
  <c r="R8" i="17"/>
  <c r="C37" i="15"/>
  <c r="F11" i="15"/>
  <c r="F9" i="15"/>
  <c r="C19" i="16" l="1"/>
  <c r="E14" i="13"/>
  <c r="E15" i="13" s="1"/>
  <c r="E17" i="13" s="1"/>
  <c r="E19" i="13" s="1"/>
  <c r="E77" i="13" s="1"/>
  <c r="C20" i="16"/>
  <c r="C21" i="16" s="1"/>
  <c r="F14" i="13"/>
  <c r="F15" i="13" s="1"/>
  <c r="F17" i="13" s="1"/>
  <c r="F19" i="13" s="1"/>
  <c r="F28" i="13" s="1"/>
  <c r="I17" i="13"/>
  <c r="I19" i="13" s="1"/>
  <c r="I77" i="13" s="1"/>
  <c r="J17" i="13"/>
  <c r="J19" i="13" s="1"/>
  <c r="J77" i="13" s="1"/>
  <c r="R9" i="17"/>
  <c r="K16" i="13"/>
  <c r="N16" i="13" s="1"/>
  <c r="Q15" i="13"/>
  <c r="Q17" i="13" s="1"/>
  <c r="Q19" i="13" s="1"/>
  <c r="Q77" i="13" s="1"/>
  <c r="E5" i="15"/>
  <c r="E13" i="15" s="1"/>
  <c r="C45" i="15"/>
  <c r="F51" i="15"/>
  <c r="F44" i="16" s="1"/>
  <c r="F44" i="15"/>
  <c r="O8" i="13"/>
  <c r="M6" i="13"/>
  <c r="D9" i="15"/>
  <c r="D11" i="15"/>
  <c r="P14" i="13"/>
  <c r="P15" i="13" s="1"/>
  <c r="P17" i="13" s="1"/>
  <c r="P19" i="13" s="1"/>
  <c r="P77" i="13" s="1"/>
  <c r="O11" i="13"/>
  <c r="O14" i="13"/>
  <c r="M11" i="13"/>
  <c r="D7" i="15"/>
  <c r="E7" i="15"/>
  <c r="C44" i="15"/>
  <c r="F7" i="15"/>
  <c r="N41" i="13"/>
  <c r="N63" i="13"/>
  <c r="C6" i="13"/>
  <c r="C14" i="13"/>
  <c r="N7" i="13"/>
  <c r="E19" i="16"/>
  <c r="P86" i="13"/>
  <c r="D14" i="13"/>
  <c r="H15" i="13"/>
  <c r="H17" i="13" s="1"/>
  <c r="H19" i="13" s="1"/>
  <c r="H77" i="13" s="1"/>
  <c r="P90" i="13"/>
  <c r="D17" i="16"/>
  <c r="E17" i="16" s="1"/>
  <c r="F17" i="16" s="1"/>
  <c r="L15" i="13"/>
  <c r="L17" i="13" s="1"/>
  <c r="L19" i="13" s="1"/>
  <c r="L77" i="13" s="1"/>
  <c r="M15" i="13"/>
  <c r="M17" i="13" s="1"/>
  <c r="M19" i="13" s="1"/>
  <c r="M77" i="13" s="1"/>
  <c r="O90" i="13"/>
  <c r="D19" i="16"/>
  <c r="O86" i="13"/>
  <c r="G15" i="13"/>
  <c r="G17" i="13" s="1"/>
  <c r="G19" i="13" s="1"/>
  <c r="G77" i="13" s="1"/>
  <c r="Q90" i="13"/>
  <c r="D45" i="15"/>
  <c r="D50" i="15" s="1"/>
  <c r="D44" i="15"/>
  <c r="Q86" i="13"/>
  <c r="F19" i="16"/>
  <c r="E44" i="15"/>
  <c r="E45" i="15"/>
  <c r="B8" i="13"/>
  <c r="B15" i="13" s="1"/>
  <c r="N9" i="13"/>
  <c r="O15" i="13" l="1"/>
  <c r="O17" i="13" s="1"/>
  <c r="O19" i="13" s="1"/>
  <c r="O77" i="13" s="1"/>
  <c r="P68" i="13" s="1"/>
  <c r="P70" i="13" s="1"/>
  <c r="D20" i="16"/>
  <c r="E20" i="16" s="1"/>
  <c r="E38" i="16" s="1"/>
  <c r="C39" i="16"/>
  <c r="K17" i="13"/>
  <c r="K19" i="13" s="1"/>
  <c r="K28" i="13" s="1"/>
  <c r="K68" i="13"/>
  <c r="K70" i="13" s="1"/>
  <c r="E50" i="15"/>
  <c r="E9" i="15"/>
  <c r="J68" i="13"/>
  <c r="J70" i="13" s="1"/>
  <c r="E11" i="15"/>
  <c r="E54" i="15" s="1"/>
  <c r="J28" i="13"/>
  <c r="I28" i="13"/>
  <c r="F77" i="13"/>
  <c r="G68" i="13" s="1"/>
  <c r="G70" i="13" s="1"/>
  <c r="F54" i="15"/>
  <c r="E51" i="15"/>
  <c r="D51" i="15"/>
  <c r="D54" i="15" s="1"/>
  <c r="N6" i="13"/>
  <c r="B70" i="13"/>
  <c r="F53" i="15"/>
  <c r="P28" i="13"/>
  <c r="M28" i="13"/>
  <c r="H28" i="13"/>
  <c r="C5" i="15"/>
  <c r="N11" i="13"/>
  <c r="Q68" i="13"/>
  <c r="Q70" i="13" s="1"/>
  <c r="Q28" i="13"/>
  <c r="D15" i="13"/>
  <c r="D17" i="13" s="1"/>
  <c r="D19" i="13" s="1"/>
  <c r="D77" i="13" s="1"/>
  <c r="F68" i="13" s="1"/>
  <c r="F70" i="13" s="1"/>
  <c r="E28" i="13"/>
  <c r="G28" i="13"/>
  <c r="C15" i="13"/>
  <c r="C17" i="13" s="1"/>
  <c r="C19" i="13" s="1"/>
  <c r="C77" i="13" s="1"/>
  <c r="N14" i="13"/>
  <c r="B17" i="13"/>
  <c r="N8" i="13"/>
  <c r="C6" i="15"/>
  <c r="I68" i="13"/>
  <c r="I70" i="13" s="1"/>
  <c r="L28" i="13"/>
  <c r="C10" i="16"/>
  <c r="D10" i="16" s="1"/>
  <c r="E10" i="16" s="1"/>
  <c r="F10" i="16" s="1"/>
  <c r="O28" i="13" l="1"/>
  <c r="O68" i="13"/>
  <c r="O70" i="13" s="1"/>
  <c r="D38" i="16"/>
  <c r="D39" i="16" s="1"/>
  <c r="K77" i="13"/>
  <c r="M68" i="13" s="1"/>
  <c r="M70" i="13" s="1"/>
  <c r="D28" i="13"/>
  <c r="C13" i="15"/>
  <c r="C11" i="15"/>
  <c r="H68" i="13"/>
  <c r="H70" i="13" s="1"/>
  <c r="D21" i="16"/>
  <c r="C28" i="13"/>
  <c r="E44" i="16"/>
  <c r="F42" i="16" s="1"/>
  <c r="D44" i="16"/>
  <c r="E42" i="16" s="1"/>
  <c r="C7" i="15"/>
  <c r="N17" i="13"/>
  <c r="B19" i="13"/>
  <c r="N15" i="13"/>
  <c r="E68" i="13"/>
  <c r="E70" i="13" s="1"/>
  <c r="C7" i="16"/>
  <c r="D7" i="16" s="1"/>
  <c r="E7" i="16" s="1"/>
  <c r="F7" i="16" s="1"/>
  <c r="C9" i="15"/>
  <c r="C50" i="15" l="1"/>
  <c r="C51" i="15"/>
  <c r="C53" i="15" s="1"/>
  <c r="L68" i="13"/>
  <c r="L70" i="13" s="1"/>
  <c r="B77" i="13"/>
  <c r="D68" i="13" s="1"/>
  <c r="B28" i="13"/>
  <c r="B72" i="13" s="1"/>
  <c r="C4" i="13" s="1"/>
  <c r="E21" i="16"/>
  <c r="E39" i="16"/>
  <c r="F20" i="16"/>
  <c r="F38" i="16" s="1"/>
  <c r="F39" i="16" s="1"/>
  <c r="N19" i="13"/>
  <c r="C54" i="15" l="1"/>
  <c r="F21" i="16"/>
  <c r="C44" i="16"/>
  <c r="C45" i="16" s="1"/>
  <c r="N28" i="13"/>
  <c r="D70" i="13"/>
  <c r="C68" i="13"/>
  <c r="D42" i="16" l="1"/>
  <c r="D43" i="16" s="1"/>
  <c r="E43" i="16" s="1"/>
  <c r="E45" i="16" s="1"/>
  <c r="N68" i="13"/>
  <c r="C70" i="13"/>
  <c r="C72" i="13" s="1"/>
  <c r="D4" i="13" s="1"/>
  <c r="D72" i="13" s="1"/>
  <c r="E4" i="13" s="1"/>
  <c r="E72" i="13" s="1"/>
  <c r="F4" i="13" s="1"/>
  <c r="F72" i="13" s="1"/>
  <c r="G4" i="13" s="1"/>
  <c r="G72" i="13" s="1"/>
  <c r="H4" i="13" s="1"/>
  <c r="H72" i="13" s="1"/>
  <c r="I4" i="13" s="1"/>
  <c r="I72" i="13" s="1"/>
  <c r="J4" i="13" s="1"/>
  <c r="J72" i="13" s="1"/>
  <c r="K4" i="13" s="1"/>
  <c r="K72" i="13" s="1"/>
  <c r="L4" i="13" s="1"/>
  <c r="L72" i="13" s="1"/>
  <c r="M4" i="13" s="1"/>
  <c r="M72" i="13" s="1"/>
  <c r="F43" i="16" l="1"/>
  <c r="F45" i="16" s="1"/>
  <c r="D45" i="16"/>
  <c r="N70" i="13"/>
  <c r="N72" i="13" s="1"/>
  <c r="C34" i="16"/>
  <c r="C35" i="16" l="1"/>
  <c r="C47" i="16" s="1"/>
  <c r="D34" i="16"/>
  <c r="O4" i="13"/>
  <c r="O72" i="13" s="1"/>
  <c r="C6" i="16"/>
  <c r="C12" i="16" l="1"/>
  <c r="C23" i="16" s="1"/>
  <c r="E34" i="16"/>
  <c r="D35" i="16"/>
  <c r="D47" i="16" s="1"/>
  <c r="D6" i="16"/>
  <c r="D12" i="16" s="1"/>
  <c r="D23" i="16" s="1"/>
  <c r="P4" i="13"/>
  <c r="P72" i="13" s="1"/>
  <c r="E6" i="16" l="1"/>
  <c r="E12" i="16" s="1"/>
  <c r="E23" i="16" s="1"/>
  <c r="Q4" i="13"/>
  <c r="Q72" i="13" s="1"/>
  <c r="F6" i="16" s="1"/>
  <c r="F12" i="16" s="1"/>
  <c r="F23" i="16" s="1"/>
  <c r="E35" i="16"/>
  <c r="E47" i="16" s="1"/>
  <c r="F34" i="16"/>
  <c r="F35" i="16" s="1"/>
  <c r="F47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Julia Eigird</author>
  </authors>
  <commentList>
    <comment ref="C19" authorId="0" shapeId="0" xr:uid="{9B255AD2-F72E-4E91-BE15-87A8BB49BA3B}">
      <text>
        <r>
          <rPr>
            <sz val="12"/>
            <color indexed="10"/>
            <rFont val="Arial"/>
            <family val="2"/>
            <charset val="186"/>
          </rPr>
          <t xml:space="preserve">Sisesta lahtrisse majandustegevusega alustamise kuu (formaadis </t>
        </r>
        <r>
          <rPr>
            <i/>
            <sz val="12"/>
            <color indexed="10"/>
            <rFont val="Arial"/>
            <family val="2"/>
            <charset val="186"/>
          </rPr>
          <t>kk.aaaa,</t>
        </r>
        <r>
          <rPr>
            <sz val="12"/>
            <color indexed="10"/>
            <rFont val="Arial"/>
            <family val="2"/>
            <charset val="186"/>
          </rPr>
          <t xml:space="preserve"> näiteks </t>
        </r>
        <r>
          <rPr>
            <i/>
            <sz val="12"/>
            <color indexed="10"/>
            <rFont val="Arial"/>
            <family val="2"/>
            <charset val="186"/>
          </rPr>
          <t>01.2024</t>
        </r>
        <r>
          <rPr>
            <sz val="12"/>
            <color indexed="10"/>
            <rFont val="Arial"/>
            <family val="2"/>
            <charset val="186"/>
          </rPr>
          <t>)</t>
        </r>
      </text>
    </comment>
    <comment ref="E23" authorId="0" shapeId="0" xr:uid="{79793E13-FB6D-4F0B-93E0-5B1013FC120E}">
      <text>
        <r>
          <rPr>
            <sz val="12"/>
            <color indexed="10"/>
            <rFont val="Arial"/>
            <family val="2"/>
            <charset val="186"/>
          </rPr>
          <t>Täida ainult oma ettevõttele vajalikud rohelised lahtrid!
Ülejäänud jäävad tühjaks.
Ka järgmistes tabelites jäävad  mittevajalikud lahtrid tühjaks.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MargitK</author>
  </authors>
  <commentList>
    <comment ref="R65" authorId="0" shapeId="0" xr:uid="{00000000-0006-0000-0200-000001000000}">
      <text>
        <r>
          <rPr>
            <sz val="8"/>
            <color indexed="81"/>
            <rFont val="Tahoma"/>
            <family val="2"/>
            <charset val="186"/>
          </rPr>
          <t xml:space="preserve">Siia lahtrisse kirjutada 5. tegevusaastal tagasimaksmisele kuuluva pikaajalise laenu lühiajaline osa
</t>
        </r>
      </text>
    </comment>
  </commentList>
</comments>
</file>

<file path=xl/sharedStrings.xml><?xml version="1.0" encoding="utf-8"?>
<sst xmlns="http://schemas.openxmlformats.org/spreadsheetml/2006/main" count="269" uniqueCount="198">
  <si>
    <t>2.aasta</t>
  </si>
  <si>
    <t>3.aasta</t>
  </si>
  <si>
    <t>Raha jääk perioodi algul</t>
  </si>
  <si>
    <t>Müügitulu</t>
  </si>
  <si>
    <t>Muud äritulud (renditulu, intressitulu jne.)</t>
  </si>
  <si>
    <t>Käibemaks</t>
  </si>
  <si>
    <t>Kapitali sissemaksed</t>
  </si>
  <si>
    <t>Laekumine kokku</t>
  </si>
  <si>
    <t>Toore ja materjal</t>
  </si>
  <si>
    <t>Rent</t>
  </si>
  <si>
    <t>Kasutamine kokku</t>
  </si>
  <si>
    <t>Raha jääk perioodi lõpus</t>
  </si>
  <si>
    <t>Raha sissetulek</t>
  </si>
  <si>
    <t>Raha väljaminek</t>
  </si>
  <si>
    <t>Majandustegevuse käigus tekkivad kulud</t>
  </si>
  <si>
    <t xml:space="preserve">Otseselt põhitegevuse eesmärgil soetused </t>
  </si>
  <si>
    <t>Transpordikulud</t>
  </si>
  <si>
    <t>Üldhalduskulud</t>
  </si>
  <si>
    <t>Koolituskulud</t>
  </si>
  <si>
    <t>Personalikulu</t>
  </si>
  <si>
    <t>Ruumide majandamiskulud</t>
  </si>
  <si>
    <t>Maksud</t>
  </si>
  <si>
    <t>Finantseerimistegevusest</t>
  </si>
  <si>
    <t>Investeerimistegevusest</t>
  </si>
  <si>
    <t>ühikuid (tundi, tk)</t>
  </si>
  <si>
    <t>ühe ühiku keskmine müügihind</t>
  </si>
  <si>
    <t>Käibemaksu korrigeerimised</t>
  </si>
  <si>
    <t>1. aasta</t>
  </si>
  <si>
    <t>KASUMIARUANDE PROGNOOS</t>
  </si>
  <si>
    <t>Kulud kokku</t>
  </si>
  <si>
    <t>Amortisatsioon</t>
  </si>
  <si>
    <t>Kasum majandustegevusest</t>
  </si>
  <si>
    <t>Tulud majandustegevusest</t>
  </si>
  <si>
    <t>Finantskulud</t>
  </si>
  <si>
    <t>Hoonete amortisatsiooninorm %</t>
  </si>
  <si>
    <t>BILANSI PROGNOOS</t>
  </si>
  <si>
    <t>AKTIVA</t>
  </si>
  <si>
    <t>Raha ja pangakontod</t>
  </si>
  <si>
    <t>Nõuded ostjate vastu</t>
  </si>
  <si>
    <t>Mitmesugused nõuded</t>
  </si>
  <si>
    <t>Ettemaksed</t>
  </si>
  <si>
    <t>Valmistoodangu varu</t>
  </si>
  <si>
    <t>Käibevara kokku</t>
  </si>
  <si>
    <t>Sihtfinantseerimise abil soetatud põhivara</t>
  </si>
  <si>
    <t>Põhivara kokku</t>
  </si>
  <si>
    <t>AKTIVA KOKKU</t>
  </si>
  <si>
    <t>PASSIVA (KOHUSTUSED JA OMAKAPITAL)</t>
  </si>
  <si>
    <t>Võlad tarnijatele</t>
  </si>
  <si>
    <t>Mitmesugused võlad</t>
  </si>
  <si>
    <t>Maksuvõlad</t>
  </si>
  <si>
    <t>Lühiajalised kohutused kokku</t>
  </si>
  <si>
    <t>Tulevaste perioodide tulud sihtfinantseerimisest</t>
  </si>
  <si>
    <t>Pikaajalised kohustused kokku</t>
  </si>
  <si>
    <t>Osakapital nimiväärtuses</t>
  </si>
  <si>
    <t>Kohustuslik reservkapital</t>
  </si>
  <si>
    <t>Eelmiste perioodide jaotamata kasum</t>
  </si>
  <si>
    <t>Aruandeaasta kasum</t>
  </si>
  <si>
    <t>Omakapital kokku</t>
  </si>
  <si>
    <t>PASSIVA KOKKU</t>
  </si>
  <si>
    <t>seadmete soetamine</t>
  </si>
  <si>
    <t>hoonete amordi arvestus</t>
  </si>
  <si>
    <t>seadmete amordi arvestus</t>
  </si>
  <si>
    <t>sihtfinantseerimise abil soetatud PV amort</t>
  </si>
  <si>
    <t>Muud maksud (riigilõivud jms)</t>
  </si>
  <si>
    <t>Laekumine müügist arvestades krediiti müüki</t>
  </si>
  <si>
    <t>Finantsprognooside täitmise juhend</t>
  </si>
  <si>
    <t>sh eksport</t>
  </si>
  <si>
    <t>sh ekspordiks %-des</t>
  </si>
  <si>
    <t>4. aasta</t>
  </si>
  <si>
    <t>ekspordi osatähtsus käibes</t>
  </si>
  <si>
    <t>Akumuleeritud kulum (miinusmärgiga)</t>
  </si>
  <si>
    <t>Jrk.nr.</t>
  </si>
  <si>
    <t>Kokku toote nr. 1 käive</t>
  </si>
  <si>
    <t>Kokku toote nr. 4 käive</t>
  </si>
  <si>
    <t>Kokku toote nr. 5 käive</t>
  </si>
  <si>
    <t>Toodetud ühikuid kokku tk</t>
  </si>
  <si>
    <t>materjali/kauba kulu ühikule kr</t>
  </si>
  <si>
    <t>Siseriikliku käibe puhul rakenduv KM määr</t>
  </si>
  <si>
    <t>Kokku toote nr. 6 käive</t>
  </si>
  <si>
    <t>Kokku toote nr. 7 käive</t>
  </si>
  <si>
    <t>Kokku toote nr. 8 käive</t>
  </si>
  <si>
    <t>Kokku toote nr. 9 käive</t>
  </si>
  <si>
    <t>Kokku toote nr. 10 käive</t>
  </si>
  <si>
    <t>Kokku toote nr. 2 käive</t>
  </si>
  <si>
    <t>Kokku toote nr. 3 käive</t>
  </si>
  <si>
    <t>materjali/kauba keskmine laovaru vajadus %</t>
  </si>
  <si>
    <t>Ekspordikäive kokku</t>
  </si>
  <si>
    <t>lauad</t>
  </si>
  <si>
    <t>Näide</t>
  </si>
  <si>
    <t>keskm.ühiku müügihind KM-ta</t>
  </si>
  <si>
    <t>käibemaksu arvestus</t>
  </si>
  <si>
    <t>hoonete soetamine, renoveerimine</t>
  </si>
  <si>
    <t>sihtfinantseerimise abil renoveeritud omandis olevad hooned</t>
  </si>
  <si>
    <t>sihtfinantseerimise abil renoveeritud omandis olevate hoonete amort</t>
  </si>
  <si>
    <t>Algandmed seisuga</t>
  </si>
  <si>
    <t>Eelneva perioodi nõuded-kohustused (va. laenukohustused)</t>
  </si>
  <si>
    <r>
      <t>NB!</t>
    </r>
    <r>
      <rPr>
        <sz val="8"/>
        <rFont val="Arial"/>
        <family val="2"/>
      </rPr>
      <t xml:space="preserve"> Esimese kuu rahajäägile liidetakse juurde eelneva perioodi bilansis olevad nõuded ja avatakse maha lühiaj. kohustused (</t>
    </r>
    <r>
      <rPr>
        <sz val="8"/>
        <color indexed="10"/>
        <rFont val="Arial"/>
        <family val="2"/>
        <charset val="186"/>
      </rPr>
      <t>v.a. laenukoh</t>
    </r>
    <r>
      <rPr>
        <sz val="8"/>
        <rFont val="Arial"/>
        <family val="2"/>
      </rPr>
      <t>)</t>
    </r>
  </si>
  <si>
    <t>Omandis olevate hoonete renoveerimine (kapitaliseeritud kulud), soetatud hooned, hoonete ehitamine</t>
  </si>
  <si>
    <t>käiberentaablus</t>
  </si>
  <si>
    <t>lisandväärtus töötaja kohta</t>
  </si>
  <si>
    <t>keskmine töötajate arv</t>
  </si>
  <si>
    <t>Töötajate arv</t>
  </si>
  <si>
    <t>stardi- või kasvuitoetuse abil soetatud immateriaalne PV</t>
  </si>
  <si>
    <t>immateriaalse põhivara soetamine</t>
  </si>
  <si>
    <t>immateriaalse põhivara amort</t>
  </si>
  <si>
    <t>stardi- või kasvuitoetuse abil soetatud immateriaalse PV amort</t>
  </si>
  <si>
    <t>materjali/kauba kulu ühikule</t>
  </si>
  <si>
    <t xml:space="preserve">materjali/kauba kulu ühikule </t>
  </si>
  <si>
    <t>sh ekspordiks eurodes</t>
  </si>
  <si>
    <t xml:space="preserve">Tulud sihtfinantseerimisest </t>
  </si>
  <si>
    <t>toetatud palk/turunduskulu</t>
  </si>
  <si>
    <t>Ärikasum</t>
  </si>
  <si>
    <t>Taotlusele eelnev majandusaasta</t>
  </si>
  <si>
    <t>Tulud kokku</t>
  </si>
  <si>
    <t>pp.kk.20aa</t>
  </si>
  <si>
    <t>NB!</t>
  </si>
  <si>
    <t>Neljas tegevusaasta, kokku</t>
  </si>
  <si>
    <t>1.aasta</t>
  </si>
  <si>
    <r>
      <rPr>
        <b/>
        <i/>
        <sz val="10"/>
        <color indexed="12"/>
        <rFont val="Arial"/>
        <family val="2"/>
        <charset val="186"/>
      </rPr>
      <t>Sinisega</t>
    </r>
    <r>
      <rPr>
        <sz val="10"/>
        <rFont val="Arial"/>
        <family val="2"/>
        <charset val="186"/>
      </rPr>
      <t xml:space="preserve"> täidetud lahtrid genereeruvad automaatselt.</t>
    </r>
  </si>
  <si>
    <t>1)</t>
  </si>
  <si>
    <t>2)</t>
  </si>
  <si>
    <t>3)</t>
  </si>
  <si>
    <t>4)</t>
  </si>
  <si>
    <t>RAHAVOOGUDE PROGNOOS</t>
  </si>
  <si>
    <t>Kütus/autokompensatsioon</t>
  </si>
  <si>
    <t>Sisseostetud teenused ja/või alltöövõtt</t>
  </si>
  <si>
    <t>Toodete/teenuste valmistamise/osutamisega seotud kulud</t>
  </si>
  <si>
    <t>Müüdud tooteid/teenuseid perioodil</t>
  </si>
  <si>
    <t>Kokku töötasu kulud</t>
  </si>
  <si>
    <r>
      <rPr>
        <b/>
        <sz val="8"/>
        <color theme="9" tint="-0.249977111117893"/>
        <rFont val="Arial"/>
        <family val="2"/>
        <charset val="186"/>
      </rPr>
      <t>EVAT toetus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  <charset val="186"/>
      </rPr>
      <t>põhivara</t>
    </r>
    <r>
      <rPr>
        <sz val="8"/>
        <rFont val="Arial"/>
        <family val="2"/>
      </rPr>
      <t xml:space="preserve"> (materiaalne, immateriaalne) soetamiseks</t>
    </r>
  </si>
  <si>
    <r>
      <t xml:space="preserve">Muud toetused </t>
    </r>
    <r>
      <rPr>
        <sz val="8"/>
        <rFont val="Arial"/>
        <family val="2"/>
        <charset val="186"/>
      </rPr>
      <t>kulude</t>
    </r>
    <r>
      <rPr>
        <b/>
        <sz val="8"/>
        <rFont val="Arial"/>
        <family val="2"/>
        <charset val="186"/>
      </rPr>
      <t xml:space="preserve"> </t>
    </r>
    <r>
      <rPr>
        <sz val="8"/>
        <rFont val="Arial"/>
        <family val="2"/>
      </rPr>
      <t>katteks</t>
    </r>
  </si>
  <si>
    <t>Muud toetused hoonete ehitamiseks ja omandis olevate ruumide renoveerimiseks</t>
  </si>
  <si>
    <t>Muud toetused muu põhivara ostuks</t>
  </si>
  <si>
    <t>Tööruumidega seotud kulud</t>
  </si>
  <si>
    <t>Muud sõidukiga seotud kulud</t>
  </si>
  <si>
    <t>Dividendide väljamaks (brutosumma)</t>
  </si>
  <si>
    <t>toolid</t>
  </si>
  <si>
    <t>kapid</t>
  </si>
  <si>
    <t>Intressid</t>
  </si>
  <si>
    <t>Käive kokku eur</t>
  </si>
  <si>
    <t>Ühe ühiku keskmine müügihind eur</t>
  </si>
  <si>
    <t>Toorme maksumus toodetele kokku eur</t>
  </si>
  <si>
    <t>Toorme keskmine laovaru vajadus eur</t>
  </si>
  <si>
    <t>Toorme varu laos perioodi lõpuks eur</t>
  </si>
  <si>
    <t>Kulutused toormele kokku eur</t>
  </si>
  <si>
    <t>majutus (madalama käibemaksumääraga)</t>
  </si>
  <si>
    <t>13% KM määraga maksustatav käive</t>
  </si>
  <si>
    <t>sellest 0% määraga maksustatav müügitulu</t>
  </si>
  <si>
    <t>sellest 22% määraga maksustav müügitulu</t>
  </si>
  <si>
    <t>sellest 13% määraga maksustatav müügitulu</t>
  </si>
  <si>
    <t>Muude toetuste abil ehitatud hoone, omandis olevate ruumide renoveerimine</t>
  </si>
  <si>
    <t>Muude toetuste abil soetatud muu põhivara</t>
  </si>
  <si>
    <t>Põhivara soetus</t>
  </si>
  <si>
    <r>
      <rPr>
        <b/>
        <sz val="8"/>
        <color theme="9" tint="-0.249977111117893"/>
        <rFont val="Arial"/>
        <family val="2"/>
        <charset val="186"/>
      </rPr>
      <t>EVAT toetuse</t>
    </r>
    <r>
      <rPr>
        <sz val="8"/>
        <rFont val="Arial"/>
        <family val="2"/>
      </rPr>
      <t xml:space="preserve"> abil soetatud põhivara toetuse summas</t>
    </r>
  </si>
  <si>
    <t>Põhivara (soetusmaksumus miinus EVAT toetus)</t>
  </si>
  <si>
    <r>
      <rPr>
        <b/>
        <sz val="8"/>
        <color theme="9" tint="-0.249977111117893"/>
        <rFont val="Arial"/>
        <family val="2"/>
        <charset val="186"/>
      </rPr>
      <t>EVAT toetus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  <charset val="186"/>
      </rPr>
      <t xml:space="preserve">kulude </t>
    </r>
    <r>
      <rPr>
        <sz val="8"/>
        <rFont val="Arial"/>
        <family val="2"/>
        <charset val="186"/>
      </rPr>
      <t>(turundus, personal, väikevahendid jne.)</t>
    </r>
    <r>
      <rPr>
        <b/>
        <sz val="8"/>
        <rFont val="Arial"/>
        <family val="2"/>
        <charset val="186"/>
      </rPr>
      <t xml:space="preserve"> </t>
    </r>
    <r>
      <rPr>
        <sz val="8"/>
        <rFont val="Arial"/>
        <family val="2"/>
      </rPr>
      <t>katteks</t>
    </r>
  </si>
  <si>
    <t>Muudest toetustest kaetavad kulud (täpsusta)</t>
  </si>
  <si>
    <t xml:space="preserve">Brutopalk </t>
  </si>
  <si>
    <t>Infotehnoloogiaga seotud kulud</t>
  </si>
  <si>
    <t>toetuste abil soetatud materiaalne PV</t>
  </si>
  <si>
    <t>Muud äritulud (renditulu, intressitulu jm)</t>
  </si>
  <si>
    <t>Hoonete amortisatsioon</t>
  </si>
  <si>
    <t xml:space="preserve">Sotsiaalmaks </t>
  </si>
  <si>
    <t>Töötuskindlustusmaks</t>
  </si>
  <si>
    <t>Küte, vesi, elekter, jm. kulud</t>
  </si>
  <si>
    <t>Muud ruumide ülalpidamisega seotud kulud</t>
  </si>
  <si>
    <t>Intressikulu</t>
  </si>
  <si>
    <t>Muu põhivara amortisatsiooninorm %</t>
  </si>
  <si>
    <t>Muu põhivara amortisatsioon</t>
  </si>
  <si>
    <t>Põhivara</t>
  </si>
  <si>
    <t>Hooned</t>
  </si>
  <si>
    <t>Muu põhivara (seadmed, sõidukid, jm)</t>
  </si>
  <si>
    <t>Pikaajalised võlakohustused</t>
  </si>
  <si>
    <t xml:space="preserve">Lühiajalised võlakohustused </t>
  </si>
  <si>
    <t>Pikaajalise laenu tagasimaksed</t>
  </si>
  <si>
    <t>Lühiajalise laenu tagasimaksed</t>
  </si>
  <si>
    <t>Materjali varu</t>
  </si>
  <si>
    <t>Pikaajaliste võlakohustuste lühiajaline osa</t>
  </si>
  <si>
    <t xml:space="preserve">Pikaajalised laenud </t>
  </si>
  <si>
    <t>Lühiajalised laenud</t>
  </si>
  <si>
    <t>Ostjate ettemaksed</t>
  </si>
  <si>
    <t xml:space="preserve">Tulud äritegevusest </t>
  </si>
  <si>
    <t xml:space="preserve">Majandustegevusega alustamise kuu </t>
  </si>
  <si>
    <r>
      <t>Täida ära "</t>
    </r>
    <r>
      <rPr>
        <b/>
        <i/>
        <sz val="11"/>
        <color indexed="12"/>
        <rFont val="Arial"/>
        <family val="2"/>
        <charset val="186"/>
      </rPr>
      <t>Alusta siit!</t>
    </r>
    <r>
      <rPr>
        <b/>
        <sz val="11"/>
        <rFont val="Arial"/>
        <family val="2"/>
        <charset val="186"/>
      </rPr>
      <t>" lehel kõik vajalikud rohelise taustaga lahtrid!</t>
    </r>
  </si>
  <si>
    <r>
      <t xml:space="preserve">Täida ära </t>
    </r>
    <r>
      <rPr>
        <b/>
        <i/>
        <sz val="11"/>
        <color rgb="FF0000FF"/>
        <rFont val="Arial"/>
        <family val="2"/>
        <charset val="186"/>
      </rPr>
      <t xml:space="preserve">"Töötajad" </t>
    </r>
    <r>
      <rPr>
        <b/>
        <sz val="11"/>
        <rFont val="Arial"/>
        <family val="2"/>
        <charset val="186"/>
      </rPr>
      <t>lehel kõik lahtrid!</t>
    </r>
  </si>
  <si>
    <r>
      <t xml:space="preserve">Täida ära </t>
    </r>
    <r>
      <rPr>
        <b/>
        <i/>
        <sz val="11"/>
        <color indexed="12"/>
        <rFont val="Arial"/>
        <family val="2"/>
        <charset val="186"/>
      </rPr>
      <t>"Tooted"</t>
    </r>
    <r>
      <rPr>
        <b/>
        <sz val="11"/>
        <rFont val="Arial"/>
        <family val="2"/>
        <charset val="186"/>
      </rPr>
      <t xml:space="preserve"> lehel kõik vajalikud andmed kuude kaupa! NB! </t>
    </r>
    <r>
      <rPr>
        <b/>
        <i/>
        <sz val="11"/>
        <color indexed="12"/>
        <rFont val="Arial"/>
        <family val="2"/>
        <charset val="186"/>
      </rPr>
      <t>Rohelisega kirjed (toode/teenus, laovaru vajadus) on näitlikud, muuda neid vastavalt äriplaanile!</t>
    </r>
  </si>
  <si>
    <t>kogus kokku</t>
  </si>
  <si>
    <r>
      <t xml:space="preserve">Toote/teenuse andmed - </t>
    </r>
    <r>
      <rPr>
        <b/>
        <sz val="10"/>
        <color indexed="10"/>
        <rFont val="Arial"/>
        <family val="2"/>
        <charset val="186"/>
      </rPr>
      <t>asendage rohelise kirjaga lahtrid oma müüdavate toodete/teenustega. Vajadusel muutke käibemaksumäära!</t>
    </r>
  </si>
  <si>
    <t>Maksetähtajaga müügi osakaal käibest (kui suur osa arvetest laekub järgmisel kuul) %</t>
  </si>
  <si>
    <r>
      <t xml:space="preserve">Kas ettevõte hakkab käibemaksukohustuslaseks </t>
    </r>
    <r>
      <rPr>
        <sz val="10"/>
        <color indexed="10"/>
        <rFont val="Arial"/>
        <family val="2"/>
        <charset val="186"/>
      </rPr>
      <t>(jah/ei)</t>
    </r>
  </si>
  <si>
    <t>Jälgi oma toodetele/teenustele kehtivat käibemaksumäära ja muuda vajadusel.</t>
  </si>
  <si>
    <t>"Tooted" lehel on summad ilma käibemaksuta, "Rahavood" lehel koos käibemaksuga.</t>
  </si>
  <si>
    <t>näide 13% KM</t>
  </si>
  <si>
    <t>Arvutus põhineb eeldusel, et kõik lühiajalised nõuded laekuvad ja lühiajalised kohustused tasutakse nõuete/kohustuste tekkimisele järgneval kuul</t>
  </si>
  <si>
    <r>
      <t xml:space="preserve">Täida ära </t>
    </r>
    <r>
      <rPr>
        <b/>
        <i/>
        <sz val="11"/>
        <color rgb="FF0000FF"/>
        <rFont val="Arial"/>
        <family val="2"/>
        <charset val="186"/>
      </rPr>
      <t>"Rahavood"</t>
    </r>
    <r>
      <rPr>
        <b/>
        <sz val="11"/>
        <rFont val="Arial"/>
        <family val="2"/>
        <charset val="186"/>
      </rPr>
      <t xml:space="preserve"> lehel vajalikud tühjad lahtrid! Siin esita andmed </t>
    </r>
    <r>
      <rPr>
        <b/>
        <i/>
        <sz val="11"/>
        <color indexed="12"/>
        <rFont val="Arial"/>
        <family val="2"/>
        <charset val="186"/>
      </rPr>
      <t>äriplaani esimese jooksva tegevusasta kohta!</t>
    </r>
    <r>
      <rPr>
        <b/>
        <sz val="11"/>
        <rFont val="Arial"/>
        <family val="2"/>
        <charset val="186"/>
      </rPr>
      <t xml:space="preserve"> </t>
    </r>
    <r>
      <rPr>
        <b/>
        <sz val="11"/>
        <color rgb="FFFF0000"/>
        <rFont val="Arial"/>
        <family val="2"/>
        <charset val="186"/>
      </rPr>
      <t>Sinise kirjaga lahtrid arvutatakse tabelis automaatselt ja neid välju pole vaja muuta!</t>
    </r>
  </si>
  <si>
    <r>
      <t>"</t>
    </r>
    <r>
      <rPr>
        <b/>
        <i/>
        <sz val="10"/>
        <color indexed="12"/>
        <rFont val="Arial"/>
        <family val="2"/>
        <charset val="186"/>
      </rPr>
      <t>Kasumiaruanne</t>
    </r>
    <r>
      <rPr>
        <sz val="10"/>
        <rFont val="Arial"/>
        <family val="2"/>
        <charset val="186"/>
      </rPr>
      <t>" ja "</t>
    </r>
    <r>
      <rPr>
        <b/>
        <i/>
        <sz val="10"/>
        <color indexed="12"/>
        <rFont val="Arial"/>
        <family val="2"/>
        <charset val="186"/>
      </rPr>
      <t>Bilanss</t>
    </r>
    <r>
      <rPr>
        <sz val="10"/>
        <rFont val="Arial"/>
        <family val="2"/>
        <charset val="186"/>
      </rPr>
      <t>" genereeruvad "</t>
    </r>
    <r>
      <rPr>
        <b/>
        <i/>
        <sz val="10"/>
        <color rgb="FF0000FF"/>
        <rFont val="Arial"/>
        <family val="2"/>
        <charset val="186"/>
      </rPr>
      <t>Alusta siit!</t>
    </r>
    <r>
      <rPr>
        <sz val="10"/>
        <rFont val="Arial"/>
        <family val="2"/>
        <charset val="186"/>
      </rPr>
      <t>" ja "</t>
    </r>
    <r>
      <rPr>
        <b/>
        <i/>
        <sz val="10"/>
        <color indexed="12"/>
        <rFont val="Arial"/>
        <family val="2"/>
        <charset val="186"/>
      </rPr>
      <t>Rahavood"</t>
    </r>
    <r>
      <rPr>
        <sz val="10"/>
        <rFont val="Arial"/>
        <family val="2"/>
        <charset val="186"/>
      </rPr>
      <t xml:space="preserve"> lehe andmete alusel.</t>
    </r>
  </si>
  <si>
    <t>Turunduskulud</t>
  </si>
  <si>
    <r>
      <t xml:space="preserve">Muud kulud </t>
    </r>
    <r>
      <rPr>
        <sz val="8"/>
        <rFont val="Arial"/>
        <family val="2"/>
        <charset val="186"/>
      </rPr>
      <t>(vahendustasu, pangateenuste kulu, raamatupidamine jm)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</si>
</sst>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.00\ _k_r_-;\-* #,##0.00\ _k_r_-;_-* &quot;-&quot;??\ _k_r_-;_-@_-"/>
    <numFmt numFmtId="165" formatCode="mmm/yyyy"/>
    <numFmt numFmtId="166" formatCode="#,##0\ &quot;kr&quot;"/>
    <numFmt numFmtId="167" formatCode="&quot;Kokku &quot;\&amp;\A\2"/>
    <numFmt numFmtId="168" formatCode="mmmm"/>
    <numFmt numFmtId="169" formatCode="dd\.mm\.yy;@"/>
    <numFmt numFmtId="170" formatCode="0.0"/>
    <numFmt numFmtId="171" formatCode="mm/yyyy"/>
  </numFmts>
  <fonts count="62" x14ac:knownFonts="1">
    <font>
      <sz val="10"/>
      <name val="Arial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  <charset val="186"/>
    </font>
    <font>
      <b/>
      <sz val="10"/>
      <color indexed="12"/>
      <name val="Arial"/>
      <family val="2"/>
      <charset val="186"/>
    </font>
    <font>
      <b/>
      <sz val="10"/>
      <color indexed="12"/>
      <name val="Arial"/>
      <family val="2"/>
    </font>
    <font>
      <i/>
      <sz val="8"/>
      <color indexed="19"/>
      <name val="Arial"/>
      <family val="2"/>
    </font>
    <font>
      <sz val="10"/>
      <name val="Arial"/>
      <family val="2"/>
      <charset val="186"/>
    </font>
    <font>
      <sz val="10"/>
      <color indexed="10"/>
      <name val="Arial"/>
      <family val="2"/>
      <charset val="186"/>
    </font>
    <font>
      <b/>
      <u/>
      <sz val="10"/>
      <name val="Arial"/>
      <family val="2"/>
      <charset val="186"/>
    </font>
    <font>
      <sz val="8"/>
      <color indexed="9"/>
      <name val="Arial"/>
      <family val="2"/>
    </font>
    <font>
      <i/>
      <sz val="8"/>
      <color indexed="10"/>
      <name val="Arial"/>
      <family val="2"/>
    </font>
    <font>
      <b/>
      <i/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i/>
      <sz val="8"/>
      <color indexed="60"/>
      <name val="Arial"/>
      <family val="2"/>
    </font>
    <font>
      <i/>
      <sz val="10"/>
      <name val="Arial"/>
      <family val="2"/>
      <charset val="186"/>
    </font>
    <font>
      <u/>
      <sz val="10"/>
      <name val="Arial"/>
      <family val="2"/>
      <charset val="186"/>
    </font>
    <font>
      <b/>
      <i/>
      <sz val="10"/>
      <color indexed="12"/>
      <name val="Arial"/>
      <family val="2"/>
      <charset val="186"/>
    </font>
    <font>
      <sz val="10"/>
      <color indexed="12"/>
      <name val="Arial"/>
      <family val="2"/>
      <charset val="186"/>
    </font>
    <font>
      <i/>
      <sz val="10"/>
      <color indexed="12"/>
      <name val="Arial"/>
      <family val="2"/>
      <charset val="186"/>
    </font>
    <font>
      <sz val="8"/>
      <color indexed="12"/>
      <name val="Arial"/>
      <family val="2"/>
    </font>
    <font>
      <i/>
      <sz val="8"/>
      <color indexed="12"/>
      <name val="Arial"/>
      <family val="2"/>
    </font>
    <font>
      <b/>
      <i/>
      <sz val="12"/>
      <color indexed="10"/>
      <name val="Arial"/>
      <family val="2"/>
      <charset val="186"/>
    </font>
    <font>
      <i/>
      <sz val="8"/>
      <color indexed="45"/>
      <name val="Arial"/>
      <family val="2"/>
    </font>
    <font>
      <i/>
      <sz val="8"/>
      <name val="Arial"/>
      <family val="2"/>
      <charset val="186"/>
    </font>
    <font>
      <b/>
      <i/>
      <sz val="8"/>
      <color indexed="12"/>
      <name val="Arial"/>
      <family val="2"/>
      <charset val="186"/>
    </font>
    <font>
      <sz val="8"/>
      <color indexed="81"/>
      <name val="Tahoma"/>
      <family val="2"/>
      <charset val="186"/>
    </font>
    <font>
      <b/>
      <i/>
      <sz val="8"/>
      <color indexed="9"/>
      <name val="Arial"/>
      <family val="2"/>
    </font>
    <font>
      <sz val="8"/>
      <color indexed="10"/>
      <name val="Arial"/>
      <family val="2"/>
      <charset val="186"/>
    </font>
    <font>
      <sz val="8"/>
      <color indexed="9"/>
      <name val="Arial"/>
      <family val="2"/>
      <charset val="186"/>
    </font>
    <font>
      <b/>
      <sz val="8"/>
      <color indexed="12"/>
      <name val="Arial"/>
      <family val="2"/>
      <charset val="186"/>
    </font>
    <font>
      <sz val="9"/>
      <name val="Arial"/>
      <family val="2"/>
      <charset val="186"/>
    </font>
    <font>
      <sz val="8"/>
      <color indexed="60"/>
      <name val="Arial"/>
      <family val="2"/>
      <charset val="186"/>
    </font>
    <font>
      <b/>
      <sz val="8"/>
      <color indexed="12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b/>
      <sz val="18"/>
      <color indexed="56"/>
      <name val="Cambria"/>
      <family val="2"/>
      <charset val="186"/>
    </font>
    <font>
      <b/>
      <sz val="8"/>
      <color rgb="FF6600FF"/>
      <name val="Arial"/>
      <family val="2"/>
    </font>
    <font>
      <b/>
      <i/>
      <sz val="8"/>
      <color rgb="FF002060"/>
      <name val="Arial"/>
      <family val="2"/>
      <charset val="186"/>
    </font>
    <font>
      <sz val="10"/>
      <color theme="0" tint="-0.34998626667073579"/>
      <name val="Arial"/>
      <family val="2"/>
    </font>
    <font>
      <i/>
      <sz val="8"/>
      <color indexed="12"/>
      <name val="Arial"/>
      <family val="2"/>
      <charset val="186"/>
    </font>
    <font>
      <sz val="8"/>
      <color theme="0" tint="-0.34998626667073579"/>
      <name val="Arial"/>
      <family val="2"/>
      <charset val="186"/>
    </font>
    <font>
      <sz val="10"/>
      <name val="Arial"/>
      <family val="2"/>
      <charset val="186"/>
    </font>
    <font>
      <b/>
      <i/>
      <sz val="10"/>
      <color rgb="FF0000FF"/>
      <name val="Arial"/>
      <family val="2"/>
      <charset val="186"/>
    </font>
    <font>
      <sz val="12"/>
      <color indexed="10"/>
      <name val="Arial"/>
      <family val="2"/>
      <charset val="186"/>
    </font>
    <font>
      <i/>
      <sz val="12"/>
      <color indexed="10"/>
      <name val="Arial"/>
      <family val="2"/>
      <charset val="186"/>
    </font>
    <font>
      <sz val="12"/>
      <name val="Arial"/>
      <family val="2"/>
      <charset val="186"/>
    </font>
    <font>
      <b/>
      <sz val="8"/>
      <color theme="9" tint="-0.249977111117893"/>
      <name val="Arial"/>
      <family val="2"/>
      <charset val="186"/>
    </font>
    <font>
      <b/>
      <sz val="12"/>
      <name val="Arial"/>
      <family val="2"/>
      <charset val="186"/>
    </font>
    <font>
      <b/>
      <sz val="8"/>
      <color rgb="FF00B050"/>
      <name val="Arial"/>
      <family val="2"/>
      <charset val="186"/>
    </font>
    <font>
      <b/>
      <sz val="11"/>
      <name val="Arial"/>
      <family val="2"/>
      <charset val="186"/>
    </font>
    <font>
      <b/>
      <i/>
      <sz val="11"/>
      <color indexed="12"/>
      <name val="Arial"/>
      <family val="2"/>
      <charset val="186"/>
    </font>
    <font>
      <b/>
      <i/>
      <sz val="11"/>
      <color indexed="10"/>
      <name val="Arial"/>
      <family val="2"/>
      <charset val="186"/>
    </font>
    <font>
      <b/>
      <i/>
      <sz val="11"/>
      <color rgb="FF0000FF"/>
      <name val="Arial"/>
      <family val="2"/>
      <charset val="186"/>
    </font>
    <font>
      <b/>
      <sz val="10"/>
      <color rgb="FF00B050"/>
      <name val="Arial"/>
      <family val="2"/>
      <charset val="186"/>
    </font>
    <font>
      <b/>
      <sz val="10"/>
      <color indexed="10"/>
      <name val="Arial"/>
      <family val="2"/>
      <charset val="186"/>
    </font>
    <font>
      <b/>
      <sz val="11"/>
      <color rgb="FFFF0000"/>
      <name val="Arial"/>
      <family val="2"/>
      <charset val="186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 style="thick">
        <color indexed="6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0"/>
      </right>
      <top style="thin">
        <color indexed="64"/>
      </top>
      <bottom style="thick">
        <color indexed="6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0"/>
      </right>
      <top style="thick">
        <color indexed="6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ck">
        <color indexed="60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0"/>
      </left>
      <right style="thin">
        <color indexed="64"/>
      </right>
      <top style="thin">
        <color indexed="64"/>
      </top>
      <bottom style="thick">
        <color indexed="6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0"/>
      </top>
      <bottom/>
      <diagonal/>
    </border>
    <border>
      <left/>
      <right style="thin">
        <color indexed="64"/>
      </right>
      <top style="thick">
        <color indexed="60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1" fillId="0" borderId="0"/>
    <xf numFmtId="9" fontId="1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Alignment="1">
      <alignment wrapText="1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0" fontId="2" fillId="0" borderId="1" xfId="0" applyFont="1" applyBorder="1" applyAlignment="1">
      <alignment wrapText="1"/>
    </xf>
    <xf numFmtId="0" fontId="2" fillId="0" borderId="0" xfId="0" applyFont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3" fontId="2" fillId="3" borderId="1" xfId="0" applyNumberFormat="1" applyFont="1" applyFill="1" applyBorder="1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3" fontId="2" fillId="3" borderId="2" xfId="0" applyNumberFormat="1" applyFont="1" applyFill="1" applyBorder="1"/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7" fontId="2" fillId="2" borderId="4" xfId="0" applyNumberFormat="1" applyFont="1" applyFill="1" applyBorder="1" applyAlignment="1">
      <alignment horizontal="right" wrapText="1"/>
    </xf>
    <xf numFmtId="9" fontId="35" fillId="4" borderId="4" xfId="0" applyNumberFormat="1" applyFont="1" applyFill="1" applyBorder="1" applyAlignment="1" applyProtection="1">
      <alignment horizontal="center"/>
      <protection locked="0"/>
    </xf>
    <xf numFmtId="9" fontId="35" fillId="0" borderId="4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wrapText="1"/>
    </xf>
    <xf numFmtId="3" fontId="37" fillId="5" borderId="1" xfId="0" applyNumberFormat="1" applyFont="1" applyFill="1" applyBorder="1"/>
    <xf numFmtId="3" fontId="37" fillId="5" borderId="2" xfId="0" applyNumberFormat="1" applyFont="1" applyFill="1" applyBorder="1"/>
    <xf numFmtId="3" fontId="37" fillId="5" borderId="3" xfId="0" applyNumberFormat="1" applyFont="1" applyFill="1" applyBorder="1"/>
    <xf numFmtId="9" fontId="37" fillId="5" borderId="1" xfId="0" applyNumberFormat="1" applyFont="1" applyFill="1" applyBorder="1"/>
    <xf numFmtId="3" fontId="37" fillId="5" borderId="4" xfId="0" applyNumberFormat="1" applyFont="1" applyFill="1" applyBorder="1"/>
    <xf numFmtId="0" fontId="37" fillId="0" borderId="0" xfId="0" applyFont="1"/>
    <xf numFmtId="168" fontId="0" fillId="0" borderId="0" xfId="0" applyNumberFormat="1"/>
    <xf numFmtId="0" fontId="11" fillId="0" borderId="0" xfId="0" applyFont="1"/>
    <xf numFmtId="4" fontId="2" fillId="0" borderId="3" xfId="0" applyNumberFormat="1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4" fontId="2" fillId="0" borderId="1" xfId="0" applyNumberFormat="1" applyFont="1" applyBorder="1"/>
    <xf numFmtId="4" fontId="2" fillId="0" borderId="5" xfId="0" applyNumberFormat="1" applyFont="1" applyBorder="1" applyProtection="1">
      <protection locked="0"/>
    </xf>
    <xf numFmtId="4" fontId="2" fillId="2" borderId="4" xfId="0" applyNumberFormat="1" applyFont="1" applyFill="1" applyBorder="1"/>
    <xf numFmtId="4" fontId="2" fillId="2" borderId="6" xfId="0" applyNumberFormat="1" applyFont="1" applyFill="1" applyBorder="1"/>
    <xf numFmtId="4" fontId="4" fillId="6" borderId="0" xfId="0" applyNumberFormat="1" applyFont="1" applyFill="1" applyAlignment="1">
      <alignment horizontal="right"/>
    </xf>
    <xf numFmtId="4" fontId="4" fillId="6" borderId="0" xfId="0" applyNumberFormat="1" applyFont="1" applyFill="1"/>
    <xf numFmtId="4" fontId="15" fillId="6" borderId="0" xfId="0" applyNumberFormat="1" applyFont="1" applyFill="1" applyAlignment="1">
      <alignment horizontal="left" wrapText="1"/>
    </xf>
    <xf numFmtId="4" fontId="28" fillId="6" borderId="0" xfId="0" applyNumberFormat="1" applyFont="1" applyFill="1" applyAlignment="1">
      <alignment horizontal="right"/>
    </xf>
    <xf numFmtId="4" fontId="28" fillId="6" borderId="0" xfId="0" applyNumberFormat="1" applyFont="1" applyFill="1"/>
    <xf numFmtId="4" fontId="30" fillId="0" borderId="1" xfId="0" applyNumberFormat="1" applyFont="1" applyBorder="1" applyAlignment="1">
      <alignment horizontal="right"/>
    </xf>
    <xf numFmtId="4" fontId="16" fillId="0" borderId="1" xfId="1" applyNumberFormat="1" applyFont="1" applyFill="1" applyBorder="1" applyAlignment="1" applyProtection="1">
      <alignment horizontal="right"/>
      <protection hidden="1"/>
    </xf>
    <xf numFmtId="4" fontId="16" fillId="0" borderId="1" xfId="0" applyNumberFormat="1" applyFont="1" applyBorder="1" applyAlignment="1" applyProtection="1">
      <alignment horizontal="right"/>
      <protection hidden="1"/>
    </xf>
    <xf numFmtId="4" fontId="6" fillId="6" borderId="0" xfId="0" applyNumberFormat="1" applyFont="1" applyFill="1"/>
    <xf numFmtId="4" fontId="4" fillId="0" borderId="0" xfId="0" applyNumberFormat="1" applyFont="1" applyAlignment="1">
      <alignment horizontal="right"/>
    </xf>
    <xf numFmtId="4" fontId="4" fillId="6" borderId="0" xfId="1" applyNumberFormat="1" applyFont="1" applyFill="1" applyBorder="1" applyAlignment="1" applyProtection="1">
      <alignment horizontal="right"/>
    </xf>
    <xf numFmtId="4" fontId="14" fillId="6" borderId="0" xfId="0" applyNumberFormat="1" applyFont="1" applyFill="1"/>
    <xf numFmtId="4" fontId="14" fillId="6" borderId="0" xfId="0" applyNumberFormat="1" applyFont="1" applyFill="1" applyAlignment="1">
      <alignment horizontal="right"/>
    </xf>
    <xf numFmtId="4" fontId="4" fillId="6" borderId="1" xfId="0" applyNumberFormat="1" applyFont="1" applyFill="1" applyBorder="1" applyAlignment="1">
      <alignment horizontal="left" indent="3"/>
    </xf>
    <xf numFmtId="4" fontId="16" fillId="6" borderId="2" xfId="1" applyNumberFormat="1" applyFont="1" applyFill="1" applyBorder="1" applyAlignment="1" applyProtection="1">
      <alignment horizontal="right"/>
      <protection hidden="1"/>
    </xf>
    <xf numFmtId="4" fontId="4" fillId="6" borderId="0" xfId="0" applyNumberFormat="1" applyFont="1" applyFill="1" applyAlignment="1">
      <alignment horizontal="left" indent="1"/>
    </xf>
    <xf numFmtId="4" fontId="29" fillId="6" borderId="7" xfId="0" applyNumberFormat="1" applyFont="1" applyFill="1" applyBorder="1" applyAlignment="1">
      <alignment horizontal="left" indent="6"/>
    </xf>
    <xf numFmtId="4" fontId="4" fillId="6" borderId="7" xfId="0" applyNumberFormat="1" applyFont="1" applyFill="1" applyBorder="1" applyAlignment="1">
      <alignment horizontal="left" indent="8"/>
    </xf>
    <xf numFmtId="4" fontId="30" fillId="6" borderId="1" xfId="1" applyNumberFormat="1" applyFont="1" applyFill="1" applyBorder="1" applyAlignment="1" applyProtection="1">
      <alignment horizontal="right"/>
      <protection hidden="1"/>
    </xf>
    <xf numFmtId="4" fontId="10" fillId="6" borderId="0" xfId="0" applyNumberFormat="1" applyFont="1" applyFill="1" applyAlignment="1">
      <alignment horizontal="left" indent="8"/>
    </xf>
    <xf numFmtId="4" fontId="10" fillId="6" borderId="0" xfId="1" applyNumberFormat="1" applyFont="1" applyFill="1" applyBorder="1" applyAlignment="1" applyProtection="1">
      <alignment horizontal="right"/>
    </xf>
    <xf numFmtId="4" fontId="10" fillId="6" borderId="0" xfId="0" applyNumberFormat="1" applyFont="1" applyFill="1" applyAlignment="1">
      <alignment horizontal="left" indent="1"/>
    </xf>
    <xf numFmtId="4" fontId="18" fillId="6" borderId="0" xfId="0" applyNumberFormat="1" applyFont="1" applyFill="1"/>
    <xf numFmtId="4" fontId="16" fillId="6" borderId="1" xfId="1" applyNumberFormat="1" applyFont="1" applyFill="1" applyBorder="1" applyAlignment="1" applyProtection="1">
      <alignment horizontal="right"/>
      <protection hidden="1"/>
    </xf>
    <xf numFmtId="4" fontId="29" fillId="6" borderId="1" xfId="0" applyNumberFormat="1" applyFont="1" applyFill="1" applyBorder="1" applyAlignment="1">
      <alignment horizontal="left" indent="6"/>
    </xf>
    <xf numFmtId="4" fontId="4" fillId="6" borderId="1" xfId="1" applyNumberFormat="1" applyFont="1" applyFill="1" applyBorder="1" applyAlignment="1" applyProtection="1">
      <alignment horizontal="right"/>
      <protection locked="0"/>
    </xf>
    <xf numFmtId="4" fontId="19" fillId="6" borderId="1" xfId="0" applyNumberFormat="1" applyFont="1" applyFill="1" applyBorder="1" applyAlignment="1">
      <alignment horizontal="left" indent="2"/>
    </xf>
    <xf numFmtId="4" fontId="4" fillId="0" borderId="1" xfId="0" applyNumberFormat="1" applyFont="1" applyBorder="1" applyAlignment="1" applyProtection="1">
      <alignment horizontal="right"/>
      <protection locked="0"/>
    </xf>
    <xf numFmtId="4" fontId="4" fillId="6" borderId="1" xfId="0" applyNumberFormat="1" applyFont="1" applyFill="1" applyBorder="1" applyAlignment="1">
      <alignment horizontal="left" wrapText="1" indent="3"/>
    </xf>
    <xf numFmtId="4" fontId="6" fillId="6" borderId="0" xfId="0" applyNumberFormat="1" applyFont="1" applyFill="1" applyAlignment="1">
      <alignment horizontal="left" indent="1"/>
    </xf>
    <xf numFmtId="4" fontId="6" fillId="6" borderId="0" xfId="0" applyNumberFormat="1" applyFont="1" applyFill="1" applyAlignment="1">
      <alignment horizontal="left" indent="2"/>
    </xf>
    <xf numFmtId="4" fontId="6" fillId="6" borderId="0" xfId="1" applyNumberFormat="1" applyFont="1" applyFill="1" applyBorder="1" applyAlignment="1" applyProtection="1">
      <alignment horizontal="right"/>
    </xf>
    <xf numFmtId="4" fontId="17" fillId="6" borderId="0" xfId="0" applyNumberFormat="1" applyFont="1" applyFill="1"/>
    <xf numFmtId="4" fontId="2" fillId="6" borderId="1" xfId="0" applyNumberFormat="1" applyFont="1" applyFill="1" applyBorder="1" applyAlignment="1">
      <alignment horizontal="left" wrapText="1" indent="3"/>
    </xf>
    <xf numFmtId="4" fontId="4" fillId="6" borderId="0" xfId="1" applyNumberFormat="1" applyFont="1" applyFill="1" applyBorder="1" applyAlignment="1" applyProtection="1">
      <alignment horizontal="right"/>
      <protection locked="0"/>
    </xf>
    <xf numFmtId="4" fontId="4" fillId="6" borderId="0" xfId="0" applyNumberFormat="1" applyFont="1" applyFill="1" applyAlignment="1">
      <alignment horizontal="left" indent="2"/>
    </xf>
    <xf numFmtId="4" fontId="17" fillId="6" borderId="0" xfId="0" applyNumberFormat="1" applyFont="1" applyFill="1" applyAlignment="1">
      <alignment horizontal="left"/>
    </xf>
    <xf numFmtId="4" fontId="16" fillId="6" borderId="8" xfId="1" applyNumberFormat="1" applyFont="1" applyFill="1" applyBorder="1" applyAlignment="1" applyProtection="1">
      <alignment horizontal="right"/>
      <protection hidden="1"/>
    </xf>
    <xf numFmtId="4" fontId="6" fillId="6" borderId="0" xfId="0" applyNumberFormat="1" applyFont="1" applyFill="1" applyAlignment="1">
      <alignment horizontal="left"/>
    </xf>
    <xf numFmtId="4" fontId="42" fillId="6" borderId="0" xfId="0" applyNumberFormat="1" applyFont="1" applyFill="1" applyAlignment="1" applyProtection="1">
      <alignment horizontal="left" indent="1"/>
      <protection locked="0"/>
    </xf>
    <xf numFmtId="4" fontId="43" fillId="6" borderId="1" xfId="1" applyNumberFormat="1" applyFont="1" applyFill="1" applyBorder="1" applyAlignment="1" applyProtection="1">
      <alignment horizontal="right"/>
    </xf>
    <xf numFmtId="4" fontId="4" fillId="0" borderId="1" xfId="0" applyNumberFormat="1" applyFont="1" applyBorder="1" applyAlignment="1">
      <alignment horizontal="left" indent="3"/>
    </xf>
    <xf numFmtId="4" fontId="4" fillId="0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/>
    <xf numFmtId="4" fontId="4" fillId="6" borderId="1" xfId="1" applyNumberFormat="1" applyFont="1" applyFill="1" applyBorder="1" applyAlignment="1" applyProtection="1">
      <alignment horizontal="right"/>
    </xf>
    <xf numFmtId="4" fontId="17" fillId="0" borderId="0" xfId="0" applyNumberFormat="1" applyFont="1" applyAlignment="1">
      <alignment horizontal="left"/>
    </xf>
    <xf numFmtId="4" fontId="4" fillId="6" borderId="0" xfId="0" applyNumberFormat="1" applyFont="1" applyFill="1" applyAlignment="1" applyProtection="1">
      <alignment horizontal="right"/>
      <protection locked="0"/>
    </xf>
    <xf numFmtId="4" fontId="4" fillId="0" borderId="9" xfId="0" applyNumberFormat="1" applyFont="1" applyBorder="1" applyProtection="1">
      <protection locked="0"/>
    </xf>
    <xf numFmtId="4" fontId="6" fillId="6" borderId="1" xfId="0" applyNumberFormat="1" applyFont="1" applyFill="1" applyBorder="1" applyAlignment="1">
      <alignment horizontal="left"/>
    </xf>
    <xf numFmtId="4" fontId="30" fillId="6" borderId="0" xfId="1" applyNumberFormat="1" applyFont="1" applyFill="1" applyBorder="1" applyAlignment="1" applyProtection="1">
      <alignment horizontal="right"/>
      <protection hidden="1"/>
    </xf>
    <xf numFmtId="4" fontId="14" fillId="6" borderId="0" xfId="0" applyNumberFormat="1" applyFont="1" applyFill="1" applyAlignment="1" applyProtection="1">
      <alignment horizontal="right"/>
      <protection hidden="1"/>
    </xf>
    <xf numFmtId="4" fontId="4" fillId="6" borderId="0" xfId="0" applyNumberFormat="1" applyFont="1" applyFill="1" applyProtection="1">
      <protection hidden="1"/>
    </xf>
    <xf numFmtId="4" fontId="4" fillId="6" borderId="0" xfId="0" applyNumberFormat="1" applyFont="1" applyFill="1" applyAlignment="1" applyProtection="1">
      <alignment horizontal="right"/>
      <protection hidden="1"/>
    </xf>
    <xf numFmtId="4" fontId="5" fillId="6" borderId="0" xfId="0" applyNumberFormat="1" applyFont="1" applyFill="1" applyAlignment="1">
      <alignment horizontal="left"/>
    </xf>
    <xf numFmtId="4" fontId="0" fillId="0" borderId="0" xfId="0" applyNumberFormat="1"/>
    <xf numFmtId="4" fontId="25" fillId="6" borderId="0" xfId="0" applyNumberFormat="1" applyFont="1" applyFill="1" applyAlignment="1">
      <alignment horizontal="right"/>
    </xf>
    <xf numFmtId="4" fontId="9" fillId="6" borderId="0" xfId="0" applyNumberFormat="1" applyFont="1" applyFill="1"/>
    <xf numFmtId="4" fontId="3" fillId="6" borderId="1" xfId="0" applyNumberFormat="1" applyFont="1" applyFill="1" applyBorder="1" applyAlignment="1">
      <alignment horizontal="left" indent="3"/>
    </xf>
    <xf numFmtId="4" fontId="24" fillId="6" borderId="1" xfId="0" applyNumberFormat="1" applyFont="1" applyFill="1" applyBorder="1" applyAlignment="1">
      <alignment horizontal="left" indent="6"/>
    </xf>
    <xf numFmtId="4" fontId="24" fillId="6" borderId="1" xfId="0" applyNumberFormat="1" applyFont="1" applyFill="1" applyBorder="1" applyAlignment="1">
      <alignment horizontal="left" indent="8"/>
    </xf>
    <xf numFmtId="4" fontId="5" fillId="6" borderId="1" xfId="0" applyNumberFormat="1" applyFont="1" applyFill="1" applyBorder="1" applyAlignment="1">
      <alignment horizontal="left" indent="3"/>
    </xf>
    <xf numFmtId="4" fontId="5" fillId="6" borderId="0" xfId="0" applyNumberFormat="1" applyFont="1" applyFill="1" applyAlignment="1">
      <alignment horizontal="left" indent="3"/>
    </xf>
    <xf numFmtId="4" fontId="36" fillId="6" borderId="0" xfId="0" applyNumberFormat="1" applyFont="1" applyFill="1" applyAlignment="1">
      <alignment horizontal="left" indent="3"/>
    </xf>
    <xf numFmtId="4" fontId="8" fillId="6" borderId="0" xfId="0" applyNumberFormat="1" applyFont="1" applyFill="1" applyAlignment="1">
      <alignment horizontal="left"/>
    </xf>
    <xf numFmtId="4" fontId="7" fillId="6" borderId="0" xfId="0" applyNumberFormat="1" applyFont="1" applyFill="1"/>
    <xf numFmtId="4" fontId="3" fillId="6" borderId="7" xfId="0" applyNumberFormat="1" applyFont="1" applyFill="1" applyBorder="1" applyAlignment="1">
      <alignment horizontal="left" indent="3"/>
    </xf>
    <xf numFmtId="4" fontId="3" fillId="6" borderId="0" xfId="0" applyNumberFormat="1" applyFont="1" applyFill="1" applyAlignment="1">
      <alignment horizontal="left" indent="2"/>
    </xf>
    <xf numFmtId="4" fontId="7" fillId="6" borderId="0" xfId="0" applyNumberFormat="1" applyFont="1" applyFill="1" applyAlignment="1">
      <alignment horizontal="left"/>
    </xf>
    <xf numFmtId="4" fontId="7" fillId="6" borderId="0" xfId="0" applyNumberFormat="1" applyFont="1" applyFill="1" applyAlignment="1">
      <alignment horizontal="left" indent="1"/>
    </xf>
    <xf numFmtId="4" fontId="7" fillId="6" borderId="1" xfId="0" applyNumberFormat="1" applyFont="1" applyFill="1" applyBorder="1" applyAlignment="1">
      <alignment horizontal="left" indent="2"/>
    </xf>
    <xf numFmtId="4" fontId="5" fillId="6" borderId="1" xfId="0" applyNumberFormat="1" applyFont="1" applyFill="1" applyBorder="1" applyAlignment="1">
      <alignment horizontal="left"/>
    </xf>
    <xf numFmtId="4" fontId="39" fillId="6" borderId="0" xfId="0" applyNumberFormat="1" applyFont="1" applyFill="1" applyAlignment="1">
      <alignment horizontal="right"/>
    </xf>
    <xf numFmtId="4" fontId="3" fillId="6" borderId="0" xfId="0" applyNumberFormat="1" applyFont="1" applyFill="1"/>
    <xf numFmtId="4" fontId="7" fillId="0" borderId="0" xfId="0" applyNumberFormat="1" applyFont="1" applyAlignment="1">
      <alignment horizontal="left" indent="1"/>
    </xf>
    <xf numFmtId="4" fontId="11" fillId="0" borderId="0" xfId="1" applyNumberFormat="1" applyFont="1" applyBorder="1" applyAlignment="1">
      <alignment horizontal="center"/>
    </xf>
    <xf numFmtId="4" fontId="11" fillId="0" borderId="0" xfId="0" applyNumberFormat="1" applyFont="1"/>
    <xf numFmtId="4" fontId="23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left" indent="1"/>
    </xf>
    <xf numFmtId="4" fontId="11" fillId="0" borderId="0" xfId="1" applyNumberFormat="1" applyFont="1" applyBorder="1"/>
    <xf numFmtId="9" fontId="2" fillId="0" borderId="1" xfId="0" applyNumberFormat="1" applyFont="1" applyBorder="1" applyProtection="1">
      <protection locked="0"/>
    </xf>
    <xf numFmtId="9" fontId="2" fillId="0" borderId="1" xfId="0" applyNumberFormat="1" applyFont="1" applyBorder="1"/>
    <xf numFmtId="9" fontId="2" fillId="0" borderId="5" xfId="0" applyNumberFormat="1" applyFont="1" applyBorder="1" applyProtection="1">
      <protection locked="0"/>
    </xf>
    <xf numFmtId="1" fontId="6" fillId="6" borderId="0" xfId="1" applyNumberFormat="1" applyFont="1" applyFill="1" applyBorder="1" applyAlignment="1" applyProtection="1">
      <alignment horizontal="right"/>
    </xf>
    <xf numFmtId="1" fontId="4" fillId="6" borderId="0" xfId="1" applyNumberFormat="1" applyFont="1" applyFill="1" applyBorder="1" applyAlignment="1" applyProtection="1">
      <alignment horizontal="right"/>
    </xf>
    <xf numFmtId="1" fontId="17" fillId="6" borderId="0" xfId="1" applyNumberFormat="1" applyFont="1" applyFill="1" applyBorder="1" applyAlignment="1" applyProtection="1">
      <alignment horizontal="right"/>
      <protection hidden="1"/>
    </xf>
    <xf numFmtId="1" fontId="4" fillId="6" borderId="0" xfId="0" applyNumberFormat="1" applyFont="1" applyFill="1" applyAlignment="1">
      <alignment horizontal="right"/>
    </xf>
    <xf numFmtId="1" fontId="11" fillId="0" borderId="10" xfId="0" applyNumberFormat="1" applyFont="1" applyBorder="1" applyAlignment="1">
      <alignment horizontal="left" indent="1"/>
    </xf>
    <xf numFmtId="1" fontId="7" fillId="0" borderId="10" xfId="0" applyNumberFormat="1" applyFont="1" applyBorder="1" applyAlignment="1">
      <alignment horizontal="left" indent="1"/>
    </xf>
    <xf numFmtId="1" fontId="7" fillId="0" borderId="0" xfId="0" applyNumberFormat="1" applyFont="1" applyAlignment="1">
      <alignment horizontal="left" indent="1"/>
    </xf>
    <xf numFmtId="1" fontId="11" fillId="0" borderId="0" xfId="1" applyNumberFormat="1" applyFont="1" applyBorder="1"/>
    <xf numFmtId="1" fontId="11" fillId="0" borderId="0" xfId="0" applyNumberFormat="1" applyFont="1" applyAlignment="1">
      <alignment horizontal="left" indent="1"/>
    </xf>
    <xf numFmtId="1" fontId="7" fillId="0" borderId="0" xfId="1" applyNumberFormat="1" applyFont="1" applyBorder="1"/>
    <xf numFmtId="1" fontId="21" fillId="0" borderId="0" xfId="0" applyNumberFormat="1" applyFont="1" applyAlignment="1">
      <alignment horizontal="left" indent="1"/>
    </xf>
    <xf numFmtId="1" fontId="13" fillId="0" borderId="0" xfId="0" applyNumberFormat="1" applyFont="1" applyAlignment="1">
      <alignment horizontal="left" indent="1"/>
    </xf>
    <xf numFmtId="14" fontId="6" fillId="6" borderId="0" xfId="0" applyNumberFormat="1" applyFont="1" applyFill="1" applyAlignment="1">
      <alignment horizontal="left"/>
    </xf>
    <xf numFmtId="14" fontId="4" fillId="6" borderId="0" xfId="0" applyNumberFormat="1" applyFont="1" applyFill="1"/>
    <xf numFmtId="165" fontId="4" fillId="6" borderId="0" xfId="0" applyNumberFormat="1" applyFont="1" applyFill="1" applyAlignment="1">
      <alignment horizontal="right"/>
    </xf>
    <xf numFmtId="3" fontId="25" fillId="6" borderId="1" xfId="1" applyNumberFormat="1" applyFont="1" applyFill="1" applyBorder="1" applyAlignment="1" applyProtection="1">
      <alignment horizontal="right"/>
      <protection hidden="1"/>
    </xf>
    <xf numFmtId="3" fontId="26" fillId="6" borderId="1" xfId="1" applyNumberFormat="1" applyFont="1" applyFill="1" applyBorder="1" applyAlignment="1" applyProtection="1">
      <alignment horizontal="right"/>
      <protection hidden="1"/>
    </xf>
    <xf numFmtId="3" fontId="17" fillId="6" borderId="1" xfId="1" applyNumberFormat="1" applyFont="1" applyFill="1" applyBorder="1" applyAlignment="1" applyProtection="1">
      <alignment horizontal="right"/>
      <protection hidden="1"/>
    </xf>
    <xf numFmtId="3" fontId="25" fillId="6" borderId="2" xfId="1" applyNumberFormat="1" applyFont="1" applyFill="1" applyBorder="1" applyAlignment="1" applyProtection="1">
      <alignment horizontal="right"/>
      <protection hidden="1"/>
    </xf>
    <xf numFmtId="3" fontId="4" fillId="6" borderId="0" xfId="1" applyNumberFormat="1" applyFont="1" applyFill="1" applyBorder="1" applyAlignment="1" applyProtection="1">
      <alignment horizontal="right"/>
    </xf>
    <xf numFmtId="3" fontId="25" fillId="6" borderId="11" xfId="1" applyNumberFormat="1" applyFont="1" applyFill="1" applyBorder="1" applyAlignment="1" applyProtection="1">
      <alignment horizontal="right"/>
      <protection hidden="1"/>
    </xf>
    <xf numFmtId="3" fontId="38" fillId="6" borderId="2" xfId="1" applyNumberFormat="1" applyFont="1" applyFill="1" applyBorder="1" applyAlignment="1" applyProtection="1">
      <alignment horizontal="right"/>
      <protection hidden="1"/>
    </xf>
    <xf numFmtId="3" fontId="39" fillId="6" borderId="0" xfId="1" applyNumberFormat="1" applyFont="1" applyFill="1" applyBorder="1" applyAlignment="1" applyProtection="1">
      <alignment horizontal="right"/>
    </xf>
    <xf numFmtId="3" fontId="6" fillId="6" borderId="0" xfId="1" applyNumberFormat="1" applyFont="1" applyFill="1" applyBorder="1" applyAlignment="1" applyProtection="1">
      <alignment horizontal="right"/>
    </xf>
    <xf numFmtId="3" fontId="23" fillId="0" borderId="10" xfId="1" applyNumberFormat="1" applyFont="1" applyBorder="1" applyProtection="1">
      <protection hidden="1"/>
    </xf>
    <xf numFmtId="3" fontId="11" fillId="0" borderId="10" xfId="1" applyNumberFormat="1" applyFont="1" applyBorder="1" applyProtection="1">
      <protection locked="0"/>
    </xf>
    <xf numFmtId="3" fontId="8" fillId="0" borderId="10" xfId="1" applyNumberFormat="1" applyFont="1" applyBorder="1" applyProtection="1">
      <protection hidden="1"/>
    </xf>
    <xf numFmtId="3" fontId="24" fillId="0" borderId="10" xfId="1" applyNumberFormat="1" applyFont="1" applyBorder="1" applyProtection="1">
      <protection hidden="1"/>
    </xf>
    <xf numFmtId="3" fontId="11" fillId="0" borderId="0" xfId="1" applyNumberFormat="1" applyFont="1" applyBorder="1"/>
    <xf numFmtId="3" fontId="8" fillId="0" borderId="0" xfId="1" applyNumberFormat="1" applyFont="1" applyBorder="1" applyProtection="1">
      <protection hidden="1"/>
    </xf>
    <xf numFmtId="17" fontId="4" fillId="0" borderId="1" xfId="0" applyNumberFormat="1" applyFont="1" applyBorder="1"/>
    <xf numFmtId="1" fontId="28" fillId="6" borderId="0" xfId="0" applyNumberFormat="1" applyFont="1" applyFill="1" applyAlignment="1">
      <alignment horizontal="right"/>
    </xf>
    <xf numFmtId="1" fontId="16" fillId="0" borderId="1" xfId="0" applyNumberFormat="1" applyFont="1" applyBorder="1" applyAlignment="1" applyProtection="1">
      <alignment horizontal="right"/>
      <protection hidden="1"/>
    </xf>
    <xf numFmtId="1" fontId="14" fillId="6" borderId="0" xfId="0" applyNumberFormat="1" applyFont="1" applyFill="1" applyAlignment="1">
      <alignment horizontal="right"/>
    </xf>
    <xf numFmtId="1" fontId="16" fillId="6" borderId="2" xfId="1" applyNumberFormat="1" applyFont="1" applyFill="1" applyBorder="1" applyAlignment="1" applyProtection="1">
      <alignment horizontal="right"/>
      <protection hidden="1"/>
    </xf>
    <xf numFmtId="1" fontId="30" fillId="6" borderId="1" xfId="1" applyNumberFormat="1" applyFont="1" applyFill="1" applyBorder="1" applyAlignment="1" applyProtection="1">
      <alignment horizontal="right"/>
      <protection hidden="1"/>
    </xf>
    <xf numFmtId="1" fontId="10" fillId="6" borderId="0" xfId="1" applyNumberFormat="1" applyFont="1" applyFill="1" applyBorder="1" applyAlignment="1" applyProtection="1">
      <alignment horizontal="right"/>
    </xf>
    <xf numFmtId="1" fontId="16" fillId="6" borderId="1" xfId="1" applyNumberFormat="1" applyFont="1" applyFill="1" applyBorder="1" applyAlignment="1" applyProtection="1">
      <alignment horizontal="right"/>
      <protection hidden="1"/>
    </xf>
    <xf numFmtId="1" fontId="4" fillId="6" borderId="1" xfId="1" applyNumberFormat="1" applyFont="1" applyFill="1" applyBorder="1" applyAlignment="1" applyProtection="1">
      <alignment horizontal="right"/>
      <protection locked="0"/>
    </xf>
    <xf numFmtId="1" fontId="4" fillId="6" borderId="0" xfId="1" applyNumberFormat="1" applyFont="1" applyFill="1" applyBorder="1" applyAlignment="1" applyProtection="1">
      <alignment horizontal="right"/>
      <protection locked="0"/>
    </xf>
    <xf numFmtId="1" fontId="16" fillId="6" borderId="8" xfId="1" applyNumberFormat="1" applyFont="1" applyFill="1" applyBorder="1" applyAlignment="1" applyProtection="1">
      <alignment horizontal="right"/>
      <protection hidden="1"/>
    </xf>
    <xf numFmtId="1" fontId="43" fillId="6" borderId="1" xfId="1" applyNumberFormat="1" applyFont="1" applyFill="1" applyBorder="1" applyAlignment="1" applyProtection="1">
      <alignment horizontal="right"/>
    </xf>
    <xf numFmtId="1" fontId="4" fillId="6" borderId="0" xfId="0" applyNumberFormat="1" applyFont="1" applyFill="1" applyAlignment="1" applyProtection="1">
      <alignment horizontal="right"/>
      <protection locked="0"/>
    </xf>
    <xf numFmtId="1" fontId="4" fillId="6" borderId="7" xfId="1" applyNumberFormat="1" applyFont="1" applyFill="1" applyBorder="1" applyAlignment="1" applyProtection="1">
      <alignment horizontal="right"/>
      <protection locked="0"/>
    </xf>
    <xf numFmtId="1" fontId="4" fillId="6" borderId="0" xfId="0" applyNumberFormat="1" applyFont="1" applyFill="1"/>
    <xf numFmtId="1" fontId="4" fillId="6" borderId="0" xfId="0" applyNumberFormat="1" applyFont="1" applyFill="1" applyAlignment="1" applyProtection="1">
      <alignment horizontal="right"/>
      <protection hidden="1"/>
    </xf>
    <xf numFmtId="1" fontId="32" fillId="6" borderId="2" xfId="1" applyNumberFormat="1" applyFont="1" applyFill="1" applyBorder="1" applyAlignment="1" applyProtection="1">
      <alignment horizontal="right"/>
      <protection hidden="1"/>
    </xf>
    <xf numFmtId="1" fontId="16" fillId="6" borderId="0" xfId="1" applyNumberFormat="1" applyFont="1" applyFill="1" applyBorder="1" applyAlignment="1" applyProtection="1">
      <alignment horizontal="right"/>
      <protection hidden="1"/>
    </xf>
    <xf numFmtId="1" fontId="16" fillId="6" borderId="0" xfId="1" applyNumberFormat="1" applyFont="1" applyFill="1" applyBorder="1" applyAlignment="1" applyProtection="1">
      <alignment horizontal="right"/>
    </xf>
    <xf numFmtId="3" fontId="2" fillId="0" borderId="3" xfId="0" applyNumberFormat="1" applyFont="1" applyBorder="1" applyProtection="1">
      <protection locked="0"/>
    </xf>
    <xf numFmtId="3" fontId="2" fillId="0" borderId="3" xfId="0" applyNumberFormat="1" applyFont="1" applyBorder="1"/>
    <xf numFmtId="3" fontId="2" fillId="0" borderId="12" xfId="0" applyNumberFormat="1" applyFont="1" applyBorder="1" applyProtection="1">
      <protection locked="0"/>
    </xf>
    <xf numFmtId="1" fontId="2" fillId="0" borderId="3" xfId="0" applyNumberFormat="1" applyFont="1" applyBorder="1" applyProtection="1">
      <protection locked="0"/>
    </xf>
    <xf numFmtId="1" fontId="2" fillId="0" borderId="3" xfId="0" applyNumberFormat="1" applyFont="1" applyBorder="1"/>
    <xf numFmtId="1" fontId="2" fillId="0" borderId="12" xfId="0" applyNumberFormat="1" applyFont="1" applyBorder="1" applyProtection="1">
      <protection locked="0"/>
    </xf>
    <xf numFmtId="1" fontId="2" fillId="0" borderId="0" xfId="0" applyNumberFormat="1" applyFont="1"/>
    <xf numFmtId="9" fontId="25" fillId="6" borderId="1" xfId="1" applyNumberFormat="1" applyFont="1" applyFill="1" applyBorder="1" applyAlignment="1" applyProtection="1">
      <alignment horizontal="right"/>
      <protection hidden="1"/>
    </xf>
    <xf numFmtId="9" fontId="30" fillId="6" borderId="2" xfId="1" applyNumberFormat="1" applyFont="1" applyFill="1" applyBorder="1" applyAlignment="1" applyProtection="1">
      <alignment horizontal="right"/>
      <protection hidden="1"/>
    </xf>
    <xf numFmtId="1" fontId="16" fillId="0" borderId="1" xfId="1" applyNumberFormat="1" applyFont="1" applyFill="1" applyBorder="1" applyAlignment="1" applyProtection="1">
      <alignment horizontal="right"/>
      <protection hidden="1"/>
    </xf>
    <xf numFmtId="1" fontId="4" fillId="0" borderId="1" xfId="1" applyNumberFormat="1" applyFont="1" applyFill="1" applyBorder="1" applyAlignment="1" applyProtection="1">
      <alignment horizontal="right"/>
      <protection locked="0"/>
    </xf>
    <xf numFmtId="4" fontId="4" fillId="0" borderId="0" xfId="0" applyNumberFormat="1" applyFont="1" applyAlignment="1">
      <alignment horizontal="left" indent="1"/>
    </xf>
    <xf numFmtId="4" fontId="44" fillId="0" borderId="1" xfId="0" applyNumberFormat="1" applyFont="1" applyBorder="1" applyAlignment="1">
      <alignment horizontal="left" indent="3"/>
    </xf>
    <xf numFmtId="3" fontId="25" fillId="0" borderId="1" xfId="1" applyNumberFormat="1" applyFont="1" applyFill="1" applyBorder="1" applyAlignment="1" applyProtection="1">
      <alignment horizontal="right"/>
      <protection hidden="1"/>
    </xf>
    <xf numFmtId="3" fontId="17" fillId="0" borderId="1" xfId="1" applyNumberFormat="1" applyFont="1" applyFill="1" applyBorder="1" applyAlignment="1" applyProtection="1">
      <alignment horizontal="right"/>
      <protection hidden="1"/>
    </xf>
    <xf numFmtId="4" fontId="40" fillId="6" borderId="1" xfId="0" applyNumberFormat="1" applyFont="1" applyFill="1" applyBorder="1"/>
    <xf numFmtId="4" fontId="5" fillId="0" borderId="1" xfId="0" applyNumberFormat="1" applyFont="1" applyBorder="1" applyAlignment="1">
      <alignment horizontal="left"/>
    </xf>
    <xf numFmtId="4" fontId="1" fillId="0" borderId="0" xfId="0" applyNumberFormat="1" applyFont="1" applyAlignment="1">
      <alignment wrapText="1"/>
    </xf>
    <xf numFmtId="0" fontId="0" fillId="7" borderId="1" xfId="0" applyFill="1" applyBorder="1" applyProtection="1">
      <protection locked="0"/>
    </xf>
    <xf numFmtId="4" fontId="5" fillId="0" borderId="1" xfId="0" applyNumberFormat="1" applyFont="1" applyBorder="1" applyAlignment="1">
      <alignment horizontal="left" indent="3"/>
    </xf>
    <xf numFmtId="3" fontId="40" fillId="0" borderId="0" xfId="0" applyNumberFormat="1" applyFont="1" applyProtection="1">
      <protection locked="0"/>
    </xf>
    <xf numFmtId="3" fontId="35" fillId="0" borderId="0" xfId="0" applyNumberFormat="1" applyFont="1" applyProtection="1">
      <protection locked="0"/>
    </xf>
    <xf numFmtId="3" fontId="2" fillId="0" borderId="1" xfId="0" applyNumberFormat="1" applyFont="1" applyBorder="1" applyProtection="1">
      <protection locked="0"/>
    </xf>
    <xf numFmtId="3" fontId="45" fillId="0" borderId="1" xfId="0" applyNumberFormat="1" applyFont="1" applyBorder="1" applyProtection="1">
      <protection locked="0"/>
    </xf>
    <xf numFmtId="3" fontId="40" fillId="0" borderId="1" xfId="0" applyNumberFormat="1" applyFont="1" applyBorder="1"/>
    <xf numFmtId="3" fontId="46" fillId="0" borderId="1" xfId="0" applyNumberFormat="1" applyFont="1" applyBorder="1" applyProtection="1">
      <protection locked="0"/>
    </xf>
    <xf numFmtId="3" fontId="2" fillId="0" borderId="0" xfId="0" applyNumberFormat="1" applyFont="1" applyProtection="1">
      <protection locked="0"/>
    </xf>
    <xf numFmtId="3" fontId="2" fillId="0" borderId="2" xfId="0" applyNumberFormat="1" applyFont="1" applyBorder="1" applyProtection="1">
      <protection locked="0"/>
    </xf>
    <xf numFmtId="3" fontId="2" fillId="0" borderId="7" xfId="0" applyNumberFormat="1" applyFont="1" applyBorder="1" applyProtection="1">
      <protection locked="0"/>
    </xf>
    <xf numFmtId="3" fontId="2" fillId="0" borderId="0" xfId="0" applyNumberFormat="1" applyFont="1" applyAlignment="1">
      <alignment vertical="top"/>
    </xf>
    <xf numFmtId="3" fontId="2" fillId="0" borderId="11" xfId="0" applyNumberFormat="1" applyFont="1" applyBorder="1" applyProtection="1">
      <protection locked="0"/>
    </xf>
    <xf numFmtId="3" fontId="40" fillId="0" borderId="2" xfId="0" applyNumberFormat="1" applyFont="1" applyBorder="1"/>
    <xf numFmtId="3" fontId="40" fillId="0" borderId="1" xfId="0" applyNumberFormat="1" applyFont="1" applyBorder="1" applyProtection="1">
      <protection locked="0"/>
    </xf>
    <xf numFmtId="3" fontId="17" fillId="0" borderId="1" xfId="1" applyNumberFormat="1" applyFont="1" applyFill="1" applyBorder="1" applyAlignment="1" applyProtection="1">
      <protection hidden="1"/>
    </xf>
    <xf numFmtId="3" fontId="17" fillId="0" borderId="0" xfId="1" applyNumberFormat="1" applyFont="1" applyFill="1" applyBorder="1" applyAlignment="1" applyProtection="1">
      <protection hidden="1"/>
    </xf>
    <xf numFmtId="3" fontId="2" fillId="6" borderId="0" xfId="0" applyNumberFormat="1" applyFont="1" applyFill="1" applyProtection="1">
      <protection locked="0"/>
    </xf>
    <xf numFmtId="3" fontId="4" fillId="0" borderId="0" xfId="0" applyNumberFormat="1" applyFont="1" applyProtection="1">
      <protection hidden="1"/>
    </xf>
    <xf numFmtId="3" fontId="4" fillId="0" borderId="0" xfId="3" applyNumberFormat="1" applyFont="1" applyFill="1" applyAlignment="1" applyProtection="1">
      <protection hidden="1"/>
    </xf>
    <xf numFmtId="4" fontId="4" fillId="0" borderId="0" xfId="3" applyNumberFormat="1" applyFont="1" applyFill="1" applyAlignment="1" applyProtection="1">
      <alignment horizontal="right"/>
      <protection hidden="1"/>
    </xf>
    <xf numFmtId="170" fontId="0" fillId="0" borderId="0" xfId="0" applyNumberFormat="1"/>
    <xf numFmtId="0" fontId="1" fillId="7" borderId="1" xfId="0" applyFont="1" applyFill="1" applyBorder="1" applyProtection="1">
      <protection locked="0"/>
    </xf>
    <xf numFmtId="4" fontId="4" fillId="9" borderId="0" xfId="0" applyNumberFormat="1" applyFont="1" applyFill="1" applyProtection="1">
      <protection hidden="1"/>
    </xf>
    <xf numFmtId="4" fontId="4" fillId="9" borderId="0" xfId="0" applyNumberFormat="1" applyFont="1" applyFill="1" applyAlignment="1" applyProtection="1">
      <alignment horizontal="right"/>
      <protection hidden="1"/>
    </xf>
    <xf numFmtId="1" fontId="4" fillId="9" borderId="0" xfId="0" applyNumberFormat="1" applyFont="1" applyFill="1" applyAlignment="1" applyProtection="1">
      <alignment horizontal="right"/>
      <protection hidden="1"/>
    </xf>
    <xf numFmtId="0" fontId="1" fillId="0" borderId="0" xfId="0" applyFont="1" applyAlignment="1">
      <alignment horizontal="right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0" fontId="27" fillId="0" borderId="0" xfId="0" applyFont="1"/>
    <xf numFmtId="0" fontId="2" fillId="0" borderId="1" xfId="0" applyFont="1" applyBorder="1" applyAlignment="1">
      <alignment vertical="center" wrapText="1"/>
    </xf>
    <xf numFmtId="0" fontId="37" fillId="5" borderId="1" xfId="0" applyFont="1" applyFill="1" applyBorder="1" applyAlignment="1">
      <alignment vertical="center" wrapText="1"/>
    </xf>
    <xf numFmtId="17" fontId="2" fillId="0" borderId="1" xfId="0" applyNumberFormat="1" applyFont="1" applyBorder="1" applyAlignment="1">
      <alignment horizontal="center" vertical="center"/>
    </xf>
    <xf numFmtId="1" fontId="40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165" fontId="34" fillId="0" borderId="0" xfId="0" applyNumberFormat="1" applyFont="1" applyAlignment="1">
      <alignment vertical="center"/>
    </xf>
    <xf numFmtId="1" fontId="34" fillId="0" borderId="0" xfId="0" applyNumberFormat="1" applyFont="1" applyAlignment="1">
      <alignment vertical="center"/>
    </xf>
    <xf numFmtId="165" fontId="47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4" fontId="2" fillId="0" borderId="1" xfId="0" applyNumberFormat="1" applyFont="1" applyBorder="1" applyAlignment="1">
      <alignment horizontal="left" indent="3"/>
    </xf>
    <xf numFmtId="4" fontId="2" fillId="6" borderId="1" xfId="0" applyNumberFormat="1" applyFont="1" applyFill="1" applyBorder="1" applyAlignment="1">
      <alignment horizontal="left" indent="3"/>
    </xf>
    <xf numFmtId="0" fontId="53" fillId="0" borderId="0" xfId="0" applyFont="1"/>
    <xf numFmtId="171" fontId="51" fillId="8" borderId="1" xfId="0" applyNumberFormat="1" applyFont="1" applyFill="1" applyBorder="1" applyAlignment="1">
      <alignment horizontal="center"/>
    </xf>
    <xf numFmtId="4" fontId="6" fillId="6" borderId="8" xfId="0" applyNumberFormat="1" applyFont="1" applyFill="1" applyBorder="1" applyAlignment="1">
      <alignment horizontal="left" indent="1"/>
    </xf>
    <xf numFmtId="4" fontId="7" fillId="6" borderId="17" xfId="0" applyNumberFormat="1" applyFont="1" applyFill="1" applyBorder="1" applyAlignment="1">
      <alignment horizontal="left" indent="1"/>
    </xf>
    <xf numFmtId="4" fontId="7" fillId="6" borderId="8" xfId="0" applyNumberFormat="1" applyFont="1" applyFill="1" applyBorder="1" applyAlignment="1">
      <alignment horizontal="left" indent="1"/>
    </xf>
    <xf numFmtId="4" fontId="4" fillId="9" borderId="0" xfId="0" applyNumberFormat="1" applyFont="1" applyFill="1"/>
    <xf numFmtId="4" fontId="1" fillId="6" borderId="1" xfId="0" applyNumberFormat="1" applyFont="1" applyFill="1" applyBorder="1" applyAlignment="1">
      <alignment horizontal="left" indent="3"/>
    </xf>
    <xf numFmtId="169" fontId="7" fillId="9" borderId="0" xfId="0" applyNumberFormat="1" applyFont="1" applyFill="1" applyAlignment="1">
      <alignment horizontal="center" wrapText="1"/>
    </xf>
    <xf numFmtId="169" fontId="7" fillId="9" borderId="0" xfId="0" applyNumberFormat="1" applyFont="1" applyFill="1" applyAlignment="1" applyProtection="1">
      <alignment horizontal="center"/>
      <protection locked="0"/>
    </xf>
    <xf numFmtId="4" fontId="11" fillId="9" borderId="0" xfId="0" applyNumberFormat="1" applyFont="1" applyFill="1" applyAlignment="1">
      <alignment horizontal="right"/>
    </xf>
    <xf numFmtId="4" fontId="7" fillId="9" borderId="0" xfId="0" applyNumberFormat="1" applyFont="1" applyFill="1" applyAlignment="1">
      <alignment horizontal="right"/>
    </xf>
    <xf numFmtId="3" fontId="11" fillId="9" borderId="10" xfId="0" applyNumberFormat="1" applyFont="1" applyFill="1" applyBorder="1" applyAlignment="1" applyProtection="1">
      <alignment horizontal="right"/>
      <protection locked="0"/>
    </xf>
    <xf numFmtId="3" fontId="8" fillId="9" borderId="10" xfId="1" applyNumberFormat="1" applyFont="1" applyFill="1" applyBorder="1" applyAlignment="1" applyProtection="1">
      <alignment horizontal="right"/>
      <protection hidden="1"/>
    </xf>
    <xf numFmtId="1" fontId="7" fillId="9" borderId="0" xfId="0" applyNumberFormat="1" applyFont="1" applyFill="1" applyAlignment="1">
      <alignment horizontal="right"/>
    </xf>
    <xf numFmtId="3" fontId="20" fillId="9" borderId="10" xfId="0" applyNumberFormat="1" applyFont="1" applyFill="1" applyBorder="1" applyAlignment="1">
      <alignment horizontal="right"/>
    </xf>
    <xf numFmtId="3" fontId="11" fillId="9" borderId="0" xfId="0" applyNumberFormat="1" applyFont="1" applyFill="1" applyAlignment="1">
      <alignment horizontal="right"/>
    </xf>
    <xf numFmtId="3" fontId="8" fillId="9" borderId="0" xfId="1" applyNumberFormat="1" applyFont="1" applyFill="1" applyBorder="1" applyAlignment="1" applyProtection="1">
      <alignment horizontal="right"/>
      <protection hidden="1"/>
    </xf>
    <xf numFmtId="1" fontId="11" fillId="9" borderId="0" xfId="0" applyNumberFormat="1" applyFont="1" applyFill="1" applyAlignment="1">
      <alignment horizontal="right"/>
    </xf>
    <xf numFmtId="1" fontId="21" fillId="9" borderId="0" xfId="0" applyNumberFormat="1" applyFont="1" applyFill="1" applyAlignment="1">
      <alignment horizontal="right"/>
    </xf>
    <xf numFmtId="3" fontId="21" fillId="9" borderId="0" xfId="0" applyNumberFormat="1" applyFont="1" applyFill="1" applyAlignment="1">
      <alignment horizontal="right"/>
    </xf>
    <xf numFmtId="3" fontId="11" fillId="9" borderId="10" xfId="0" applyNumberFormat="1" applyFont="1" applyFill="1" applyBorder="1" applyAlignment="1">
      <alignment horizontal="right"/>
    </xf>
    <xf numFmtId="3" fontId="23" fillId="9" borderId="10" xfId="1" applyNumberFormat="1" applyFont="1" applyFill="1" applyBorder="1" applyProtection="1">
      <protection hidden="1"/>
    </xf>
    <xf numFmtId="1" fontId="13" fillId="9" borderId="0" xfId="0" applyNumberFormat="1" applyFont="1" applyFill="1" applyAlignment="1">
      <alignment horizontal="right"/>
    </xf>
    <xf numFmtId="1" fontId="1" fillId="0" borderId="10" xfId="0" applyNumberFormat="1" applyFont="1" applyBorder="1" applyAlignment="1">
      <alignment horizontal="left" indent="1"/>
    </xf>
    <xf numFmtId="1" fontId="1" fillId="0" borderId="10" xfId="0" applyNumberFormat="1" applyFont="1" applyBorder="1" applyAlignment="1">
      <alignment horizontal="left" wrapText="1" indent="1"/>
    </xf>
    <xf numFmtId="4" fontId="30" fillId="6" borderId="1" xfId="1" applyNumberFormat="1" applyFont="1" applyFill="1" applyBorder="1" applyAlignment="1" applyProtection="1">
      <alignment horizontal="right"/>
    </xf>
    <xf numFmtId="3" fontId="2" fillId="0" borderId="13" xfId="0" applyNumberFormat="1" applyFont="1" applyBorder="1" applyAlignment="1" applyProtection="1">
      <alignment vertical="top"/>
      <protection locked="0"/>
    </xf>
    <xf numFmtId="4" fontId="7" fillId="6" borderId="23" xfId="0" applyNumberFormat="1" applyFont="1" applyFill="1" applyBorder="1"/>
    <xf numFmtId="0" fontId="55" fillId="0" borderId="0" xfId="0" applyFont="1"/>
    <xf numFmtId="0" fontId="55" fillId="0" borderId="0" xfId="0" applyFont="1" applyAlignment="1" applyProtection="1">
      <alignment horizontal="center"/>
      <protection locked="0"/>
    </xf>
    <xf numFmtId="0" fontId="55" fillId="0" borderId="0" xfId="0" applyFont="1" applyProtection="1">
      <protection locked="0"/>
    </xf>
    <xf numFmtId="0" fontId="57" fillId="0" borderId="0" xfId="0" applyFont="1"/>
    <xf numFmtId="9" fontId="54" fillId="0" borderId="4" xfId="0" applyNumberFormat="1" applyFont="1" applyBorder="1" applyAlignment="1" applyProtection="1">
      <alignment horizontal="center"/>
      <protection locked="0"/>
    </xf>
    <xf numFmtId="9" fontId="54" fillId="4" borderId="4" xfId="0" applyNumberFormat="1" applyFont="1" applyFill="1" applyBorder="1" applyAlignment="1" applyProtection="1">
      <alignment horizontal="center"/>
      <protection locked="0"/>
    </xf>
    <xf numFmtId="4" fontId="11" fillId="0" borderId="13" xfId="0" applyNumberFormat="1" applyFont="1" applyBorder="1" applyAlignment="1">
      <alignment horizontal="left"/>
    </xf>
    <xf numFmtId="3" fontId="39" fillId="0" borderId="13" xfId="1" applyNumberFormat="1" applyFont="1" applyFill="1" applyBorder="1" applyAlignment="1" applyProtection="1"/>
    <xf numFmtId="3" fontId="39" fillId="0" borderId="13" xfId="1" applyNumberFormat="1" applyFont="1" applyFill="1" applyBorder="1" applyAlignment="1" applyProtection="1">
      <alignment horizontal="right"/>
    </xf>
    <xf numFmtId="4" fontId="33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4" fontId="23" fillId="0" borderId="0" xfId="0" applyNumberFormat="1" applyFont="1" applyAlignment="1">
      <alignment horizontal="right" wrapText="1"/>
    </xf>
    <xf numFmtId="4" fontId="23" fillId="0" borderId="0" xfId="0" applyNumberFormat="1" applyFont="1" applyAlignment="1">
      <alignment horizontal="right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/>
      <protection locked="0"/>
    </xf>
    <xf numFmtId="0" fontId="35" fillId="0" borderId="1" xfId="0" applyFont="1" applyBorder="1" applyAlignment="1" applyProtection="1">
      <alignment horizontal="center"/>
      <protection locked="0"/>
    </xf>
    <xf numFmtId="49" fontId="59" fillId="0" borderId="3" xfId="0" applyNumberFormat="1" applyFont="1" applyBorder="1" applyAlignment="1" applyProtection="1">
      <alignment horizontal="center" vertical="center" wrapText="1"/>
      <protection locked="0"/>
    </xf>
    <xf numFmtId="0" fontId="59" fillId="0" borderId="3" xfId="0" applyFont="1" applyBorder="1" applyAlignment="1" applyProtection="1">
      <alignment horizontal="center"/>
      <protection locked="0"/>
    </xf>
    <xf numFmtId="0" fontId="59" fillId="0" borderId="1" xfId="0" applyFont="1" applyBorder="1" applyAlignment="1" applyProtection="1">
      <alignment horizontal="center"/>
      <protection locked="0"/>
    </xf>
    <xf numFmtId="0" fontId="1" fillId="0" borderId="7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49" fontId="59" fillId="0" borderId="18" xfId="0" applyNumberFormat="1" applyFont="1" applyBorder="1" applyAlignment="1" applyProtection="1">
      <alignment horizontal="center" vertical="center" wrapText="1"/>
      <protection locked="0"/>
    </xf>
    <xf numFmtId="49" fontId="8" fillId="0" borderId="19" xfId="0" applyNumberFormat="1" applyFont="1" applyBorder="1" applyAlignment="1" applyProtection="1">
      <alignment horizontal="center" vertical="center" wrapText="1"/>
      <protection locked="0"/>
    </xf>
    <xf numFmtId="49" fontId="8" fillId="0" borderId="20" xfId="0" applyNumberFormat="1" applyFont="1" applyBorder="1" applyAlignment="1" applyProtection="1">
      <alignment horizontal="center" vertical="center" wrapText="1"/>
      <protection locked="0"/>
    </xf>
    <xf numFmtId="49" fontId="8" fillId="0" borderId="21" xfId="0" applyNumberFormat="1" applyFont="1" applyBorder="1" applyAlignment="1" applyProtection="1">
      <alignment horizontal="center" vertical="center" wrapText="1"/>
      <protection locked="0"/>
    </xf>
    <xf numFmtId="49" fontId="8" fillId="0" borderId="22" xfId="0" applyNumberFormat="1" applyFont="1" applyBorder="1" applyAlignment="1" applyProtection="1">
      <alignment horizontal="center" vertical="center" wrapText="1"/>
      <protection locked="0"/>
    </xf>
    <xf numFmtId="49" fontId="8" fillId="0" borderId="17" xfId="0" applyNumberFormat="1" applyFont="1" applyBorder="1" applyAlignment="1" applyProtection="1">
      <alignment horizontal="center" vertical="center" wrapText="1"/>
      <protection locked="0"/>
    </xf>
    <xf numFmtId="3" fontId="2" fillId="0" borderId="0" xfId="0" applyNumberFormat="1" applyFont="1" applyAlignment="1">
      <alignment wrapText="1"/>
    </xf>
    <xf numFmtId="0" fontId="11" fillId="0" borderId="0" xfId="0" applyFont="1" applyAlignment="1">
      <alignment horizontal="center"/>
    </xf>
  </cellXfs>
  <cellStyles count="4">
    <cellStyle name="Koma" xfId="1" builtinId="3"/>
    <cellStyle name="Normaallaad" xfId="0" builtinId="0"/>
    <cellStyle name="Normaallaad 2" xfId="2" xr:uid="{00000000-0005-0000-0000-000002000000}"/>
    <cellStyle name="Protsent" xfId="3" builtinId="5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0000FF"/>
      <color rgb="FF6012AE"/>
      <color rgb="FF69B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eht1">
    <tabColor theme="9"/>
    <pageSetUpPr fitToPage="1"/>
  </sheetPr>
  <dimension ref="A1:G36"/>
  <sheetViews>
    <sheetView topLeftCell="A3" zoomScaleNormal="100" workbookViewId="0">
      <selection activeCell="B29" sqref="B29"/>
    </sheetView>
  </sheetViews>
  <sheetFormatPr defaultRowHeight="13.2" x14ac:dyDescent="0.25"/>
  <cols>
    <col min="1" max="1" width="2.5546875" bestFit="1" customWidth="1"/>
    <col min="2" max="2" width="73" customWidth="1"/>
    <col min="3" max="5" width="11.109375" style="4" customWidth="1"/>
    <col min="6" max="6" width="8.109375" style="2" customWidth="1"/>
    <col min="7" max="7" width="8.5546875" customWidth="1"/>
  </cols>
  <sheetData>
    <row r="1" spans="1:7" x14ac:dyDescent="0.25">
      <c r="B1" s="215"/>
    </row>
    <row r="2" spans="1:7" ht="15.6" x14ac:dyDescent="0.3">
      <c r="B2" s="233" t="s">
        <v>65</v>
      </c>
      <c r="C2" s="3"/>
      <c r="D2" s="3"/>
      <c r="E2" s="3"/>
    </row>
    <row r="3" spans="1:7" ht="15.6" x14ac:dyDescent="0.3">
      <c r="B3" s="233"/>
      <c r="C3" s="3"/>
      <c r="D3" s="3"/>
      <c r="E3" s="3"/>
    </row>
    <row r="4" spans="1:7" ht="13.8" x14ac:dyDescent="0.25">
      <c r="A4" s="212" t="s">
        <v>119</v>
      </c>
      <c r="B4" s="261" t="s">
        <v>183</v>
      </c>
      <c r="C4" s="262"/>
      <c r="D4" s="262"/>
      <c r="E4" s="262"/>
      <c r="F4" s="263"/>
      <c r="G4" s="261"/>
    </row>
    <row r="5" spans="1:7" ht="13.8" x14ac:dyDescent="0.25">
      <c r="A5" s="230"/>
      <c r="B5" s="264"/>
      <c r="C5" s="262"/>
      <c r="D5" s="262"/>
      <c r="E5" s="262"/>
      <c r="F5" s="263"/>
      <c r="G5" s="261"/>
    </row>
    <row r="6" spans="1:7" ht="13.8" x14ac:dyDescent="0.25">
      <c r="A6" s="212" t="s">
        <v>120</v>
      </c>
      <c r="B6" s="261" t="s">
        <v>185</v>
      </c>
      <c r="C6" s="261"/>
      <c r="D6" s="261"/>
      <c r="E6" s="261"/>
      <c r="F6" s="261"/>
      <c r="G6" s="261"/>
    </row>
    <row r="7" spans="1:7" ht="15" customHeight="1" x14ac:dyDescent="0.25">
      <c r="A7" s="230"/>
      <c r="B7" s="264"/>
      <c r="C7" s="262"/>
      <c r="D7" s="262"/>
      <c r="E7" s="262"/>
      <c r="F7" s="263"/>
      <c r="G7" s="261"/>
    </row>
    <row r="8" spans="1:7" ht="13.8" x14ac:dyDescent="0.25">
      <c r="A8" s="212" t="s">
        <v>121</v>
      </c>
      <c r="B8" s="261" t="s">
        <v>194</v>
      </c>
      <c r="C8" s="262"/>
      <c r="D8" s="262"/>
      <c r="E8" s="262"/>
      <c r="F8" s="263"/>
      <c r="G8" s="261"/>
    </row>
    <row r="9" spans="1:7" ht="13.8" x14ac:dyDescent="0.25">
      <c r="A9" s="230"/>
      <c r="B9" s="264"/>
      <c r="C9" s="262"/>
      <c r="D9" s="262"/>
      <c r="E9" s="262"/>
      <c r="F9" s="263"/>
      <c r="G9" s="261"/>
    </row>
    <row r="10" spans="1:7" ht="13.8" x14ac:dyDescent="0.25">
      <c r="A10" s="212" t="s">
        <v>122</v>
      </c>
      <c r="B10" s="261" t="s">
        <v>184</v>
      </c>
      <c r="C10" s="262"/>
      <c r="D10" s="262"/>
      <c r="E10" s="262"/>
      <c r="F10" s="263"/>
      <c r="G10" s="261"/>
    </row>
    <row r="11" spans="1:7" x14ac:dyDescent="0.25">
      <c r="A11" s="230"/>
      <c r="B11" s="215"/>
    </row>
    <row r="12" spans="1:7" ht="15.6" x14ac:dyDescent="0.3">
      <c r="B12" s="216" t="s">
        <v>115</v>
      </c>
    </row>
    <row r="13" spans="1:7" x14ac:dyDescent="0.25">
      <c r="A13" s="229"/>
      <c r="B13" s="228" t="s">
        <v>118</v>
      </c>
    </row>
    <row r="14" spans="1:7" x14ac:dyDescent="0.25">
      <c r="A14" s="229"/>
      <c r="B14" s="215" t="s">
        <v>195</v>
      </c>
    </row>
    <row r="15" spans="1:7" x14ac:dyDescent="0.25">
      <c r="A15" s="229"/>
      <c r="B15" s="228" t="s">
        <v>190</v>
      </c>
    </row>
    <row r="16" spans="1:7" x14ac:dyDescent="0.25">
      <c r="A16" s="229"/>
      <c r="B16" s="228" t="s">
        <v>191</v>
      </c>
    </row>
    <row r="17" spans="2:6" x14ac:dyDescent="0.25">
      <c r="B17" s="228"/>
    </row>
    <row r="18" spans="2:6" x14ac:dyDescent="0.25">
      <c r="B18" s="1"/>
    </row>
    <row r="19" spans="2:6" ht="15" x14ac:dyDescent="0.25">
      <c r="B19" s="212" t="s">
        <v>182</v>
      </c>
      <c r="C19" s="234">
        <v>45292</v>
      </c>
      <c r="D19" s="3"/>
      <c r="E19" s="3"/>
      <c r="F19"/>
    </row>
    <row r="20" spans="2:6" x14ac:dyDescent="0.25">
      <c r="B20" s="212"/>
      <c r="C20" s="226"/>
      <c r="D20" s="3"/>
      <c r="E20" s="3"/>
      <c r="F20"/>
    </row>
    <row r="21" spans="2:6" x14ac:dyDescent="0.25">
      <c r="C21" s="227" t="s">
        <v>117</v>
      </c>
      <c r="D21" s="227" t="s">
        <v>0</v>
      </c>
      <c r="E21" s="227" t="s">
        <v>1</v>
      </c>
    </row>
    <row r="22" spans="2:6" x14ac:dyDescent="0.25">
      <c r="B22" s="215" t="s">
        <v>189</v>
      </c>
      <c r="C22" s="213"/>
      <c r="D22" s="213"/>
      <c r="E22" s="213"/>
      <c r="F22" s="4"/>
    </row>
    <row r="23" spans="2:6" x14ac:dyDescent="0.25">
      <c r="B23" s="215" t="s">
        <v>188</v>
      </c>
      <c r="C23" s="214"/>
      <c r="D23" s="214"/>
      <c r="E23" s="214"/>
      <c r="F23" s="5"/>
    </row>
    <row r="24" spans="2:6" x14ac:dyDescent="0.25">
      <c r="B24" t="s">
        <v>34</v>
      </c>
      <c r="C24" s="214"/>
      <c r="D24" s="214"/>
      <c r="E24" s="214"/>
      <c r="F24" s="5"/>
    </row>
    <row r="25" spans="2:6" x14ac:dyDescent="0.25">
      <c r="B25" s="215" t="s">
        <v>167</v>
      </c>
      <c r="C25" s="214"/>
      <c r="D25" s="214"/>
      <c r="E25" s="214"/>
      <c r="F25" s="5"/>
    </row>
    <row r="26" spans="2:6" x14ac:dyDescent="0.25">
      <c r="B26" s="30"/>
      <c r="C26"/>
      <c r="D26"/>
      <c r="E26"/>
      <c r="F26"/>
    </row>
    <row r="27" spans="2:6" x14ac:dyDescent="0.25">
      <c r="C27" s="5"/>
      <c r="D27" s="5"/>
      <c r="E27" s="5"/>
    </row>
    <row r="29" spans="2:6" x14ac:dyDescent="0.25">
      <c r="C29" s="6"/>
      <c r="D29" s="6"/>
      <c r="E29" s="6"/>
      <c r="F29" s="7"/>
    </row>
    <row r="30" spans="2:6" x14ac:dyDescent="0.25">
      <c r="C30" s="3"/>
      <c r="D30" s="3"/>
      <c r="E30" s="3"/>
      <c r="F30"/>
    </row>
    <row r="31" spans="2:6" x14ac:dyDescent="0.25">
      <c r="B31" s="1"/>
    </row>
    <row r="32" spans="2:6" x14ac:dyDescent="0.25">
      <c r="B32" s="1"/>
    </row>
    <row r="36" spans="1:7" ht="13.8" x14ac:dyDescent="0.25">
      <c r="A36" s="212"/>
      <c r="B36" s="261"/>
      <c r="C36" s="262"/>
      <c r="D36" s="262"/>
      <c r="E36" s="262"/>
      <c r="F36" s="263"/>
      <c r="G36" s="261"/>
    </row>
  </sheetData>
  <phoneticPr fontId="2" type="noConversion"/>
  <dataValidations count="2">
    <dataValidation type="textLength" allowBlank="1" showInputMessage="1" showErrorMessage="1" error="valik saab olla ainult &quot;jah&quot; või &quot;ei&quot;" promptTitle="Sisestada valikväärtus " sqref="C22:F22" xr:uid="{00000000-0002-0000-0000-000000000000}">
      <formula1>2</formula1>
      <formula2>3</formula2>
    </dataValidation>
    <dataValidation type="whole" allowBlank="1" showInputMessage="1" showErrorMessage="1" error="Summa saab olla ainult täisarv vahemikus 1-100" sqref="C23:F25" xr:uid="{00000000-0002-0000-0000-000001000000}">
      <formula1>1</formula1>
      <formula2>100</formula2>
    </dataValidation>
  </dataValidations>
  <pageMargins left="0.75" right="0.75" top="0.98425196850393704" bottom="0.98425196850393704" header="0" footer="0"/>
  <pageSetup paperSize="9" scale="83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eht2">
    <pageSetUpPr fitToPage="1"/>
  </sheetPr>
  <dimension ref="A1:AM62"/>
  <sheetViews>
    <sheetView zoomScaleNormal="100" zoomScaleSheetLayoutView="10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G20" sqref="G20"/>
    </sheetView>
  </sheetViews>
  <sheetFormatPr defaultColWidth="9.109375" defaultRowHeight="10.199999999999999" x14ac:dyDescent="0.2"/>
  <cols>
    <col min="1" max="1" width="4.33203125" style="9" customWidth="1"/>
    <col min="2" max="2" width="15.44140625" style="9" customWidth="1"/>
    <col min="3" max="3" width="15" style="9" customWidth="1"/>
    <col min="4" max="4" width="21.44140625" style="22" bestFit="1" customWidth="1"/>
    <col min="5" max="5" width="7.44140625" style="28" customWidth="1"/>
    <col min="6" max="17" width="10" style="9" customWidth="1"/>
    <col min="18" max="18" width="11.33203125" style="9" customWidth="1"/>
    <col min="19" max="19" width="11.109375" style="9" customWidth="1"/>
    <col min="20" max="20" width="11" style="9" customWidth="1"/>
    <col min="21" max="21" width="11.5546875" style="9" hidden="1" customWidth="1"/>
    <col min="22" max="22" width="9.109375" style="9"/>
    <col min="23" max="23" width="12.109375" style="9" customWidth="1"/>
    <col min="24" max="24" width="9" style="9" customWidth="1"/>
    <col min="25" max="25" width="9.88671875" style="9" customWidth="1"/>
    <col min="26" max="26" width="10.33203125" style="9" customWidth="1"/>
    <col min="27" max="27" width="9.5546875" style="9" customWidth="1"/>
    <col min="28" max="28" width="8.5546875" style="9" customWidth="1"/>
    <col min="29" max="29" width="9.44140625" style="9" customWidth="1"/>
    <col min="30" max="30" width="8.88671875" style="9" customWidth="1"/>
    <col min="31" max="31" width="8.5546875" style="9" customWidth="1"/>
    <col min="32" max="32" width="9.109375" style="9" customWidth="1"/>
    <col min="33" max="33" width="8.109375" style="9" customWidth="1"/>
    <col min="34" max="34" width="8.33203125" style="9" customWidth="1"/>
    <col min="35" max="35" width="10" style="9" customWidth="1"/>
    <col min="36" max="36" width="6" style="9" customWidth="1"/>
    <col min="37" max="39" width="5" style="9" customWidth="1"/>
    <col min="40" max="40" width="9.109375" style="9" customWidth="1"/>
    <col min="41" max="16384" width="9.109375" style="9"/>
  </cols>
  <sheetData>
    <row r="1" spans="1:39" s="222" customFormat="1" ht="43.5" customHeight="1" thickBot="1" x14ac:dyDescent="0.3">
      <c r="A1" s="217" t="s">
        <v>71</v>
      </c>
      <c r="B1" s="283" t="s">
        <v>187</v>
      </c>
      <c r="C1" s="284"/>
      <c r="D1" s="285"/>
      <c r="E1" s="218" t="s">
        <v>88</v>
      </c>
      <c r="F1" s="219">
        <f>'Alusta siit!'!C19</f>
        <v>45292</v>
      </c>
      <c r="G1" s="219">
        <f>EOMONTH(F1,1)</f>
        <v>45351</v>
      </c>
      <c r="H1" s="219">
        <f t="shared" ref="H1:Q1" si="0">EOMONTH(G1,1)</f>
        <v>45382</v>
      </c>
      <c r="I1" s="219">
        <f t="shared" si="0"/>
        <v>45412</v>
      </c>
      <c r="J1" s="219">
        <f t="shared" si="0"/>
        <v>45443</v>
      </c>
      <c r="K1" s="219">
        <f t="shared" si="0"/>
        <v>45473</v>
      </c>
      <c r="L1" s="219">
        <f t="shared" si="0"/>
        <v>45504</v>
      </c>
      <c r="M1" s="219">
        <f t="shared" si="0"/>
        <v>45535</v>
      </c>
      <c r="N1" s="219">
        <f t="shared" si="0"/>
        <v>45565</v>
      </c>
      <c r="O1" s="219">
        <f t="shared" si="0"/>
        <v>45596</v>
      </c>
      <c r="P1" s="219">
        <f t="shared" si="0"/>
        <v>45626</v>
      </c>
      <c r="Q1" s="219">
        <f t="shared" si="0"/>
        <v>45657</v>
      </c>
      <c r="R1" s="220" t="s">
        <v>117</v>
      </c>
      <c r="S1" s="220" t="s">
        <v>0</v>
      </c>
      <c r="T1" s="220" t="s">
        <v>1</v>
      </c>
      <c r="U1" s="221" t="s">
        <v>116</v>
      </c>
      <c r="W1" s="223" t="s">
        <v>192</v>
      </c>
      <c r="X1" s="224">
        <f>Rahavood!B2</f>
        <v>45292</v>
      </c>
      <c r="Y1" s="224">
        <f>Rahavood!C2</f>
        <v>45351</v>
      </c>
      <c r="Z1" s="224">
        <f>Rahavood!D2</f>
        <v>45382</v>
      </c>
      <c r="AA1" s="224">
        <f>Rahavood!E2</f>
        <v>45412</v>
      </c>
      <c r="AB1" s="224">
        <f>Rahavood!F2</f>
        <v>45443</v>
      </c>
      <c r="AC1" s="224">
        <f>Rahavood!G2</f>
        <v>45473</v>
      </c>
      <c r="AD1" s="224">
        <f>Rahavood!H2</f>
        <v>45504</v>
      </c>
      <c r="AE1" s="224">
        <f>Rahavood!I2</f>
        <v>45535</v>
      </c>
      <c r="AF1" s="224">
        <f>Rahavood!J2</f>
        <v>45565</v>
      </c>
      <c r="AG1" s="224">
        <f>Rahavood!K2</f>
        <v>45596</v>
      </c>
      <c r="AH1" s="224">
        <f>Rahavood!L2</f>
        <v>45626</v>
      </c>
      <c r="AI1" s="224">
        <f>Rahavood!M2</f>
        <v>45657</v>
      </c>
      <c r="AJ1" s="225" t="str">
        <f>Rahavood!N2</f>
        <v>1. aasta</v>
      </c>
      <c r="AK1" s="225" t="str">
        <f>Rahavood!O2</f>
        <v>2.aasta</v>
      </c>
      <c r="AL1" s="225" t="str">
        <f>Rahavood!P2</f>
        <v>3.aasta</v>
      </c>
      <c r="AM1" s="225" t="str">
        <f>Rahavood!Q2</f>
        <v>4. aasta</v>
      </c>
    </row>
    <row r="2" spans="1:39" hidden="1" x14ac:dyDescent="0.2">
      <c r="A2" s="10"/>
      <c r="B2" s="10" t="s">
        <v>75</v>
      </c>
      <c r="C2" s="10"/>
      <c r="D2" s="11"/>
      <c r="E2" s="23">
        <f t="shared" ref="E2:Q2" si="1">E12+E17+E22+E27+E32+E37+E42+E47+E52+E57</f>
        <v>67</v>
      </c>
      <c r="F2" s="12">
        <f t="shared" si="1"/>
        <v>0</v>
      </c>
      <c r="G2" s="12">
        <f t="shared" si="1"/>
        <v>0</v>
      </c>
      <c r="H2" s="12">
        <f t="shared" si="1"/>
        <v>0</v>
      </c>
      <c r="I2" s="12">
        <f t="shared" si="1"/>
        <v>0</v>
      </c>
      <c r="J2" s="12">
        <f t="shared" si="1"/>
        <v>0</v>
      </c>
      <c r="K2" s="12">
        <f t="shared" si="1"/>
        <v>0</v>
      </c>
      <c r="L2" s="12">
        <f t="shared" si="1"/>
        <v>0</v>
      </c>
      <c r="M2" s="12">
        <f t="shared" si="1"/>
        <v>0</v>
      </c>
      <c r="N2" s="12">
        <f t="shared" si="1"/>
        <v>0</v>
      </c>
      <c r="O2" s="12">
        <f t="shared" si="1"/>
        <v>0</v>
      </c>
      <c r="P2" s="12">
        <f t="shared" si="1"/>
        <v>0</v>
      </c>
      <c r="Q2" s="12">
        <f t="shared" si="1"/>
        <v>0</v>
      </c>
      <c r="R2" s="12">
        <f>SUM(F2:Q2)</f>
        <v>0</v>
      </c>
      <c r="S2" s="12">
        <f>S12+S17+S22+S27+S32+S37+S42+S47+S52+S57</f>
        <v>0</v>
      </c>
      <c r="T2" s="12">
        <f>T12+T17+T22+T27+T32+T37+T42+T47+T52+T57</f>
        <v>0</v>
      </c>
      <c r="U2" s="12">
        <f>U12+U17+U22+U27+U32+U37+U42+U47+U52+U57</f>
        <v>0</v>
      </c>
      <c r="W2" s="9">
        <f t="shared" ref="W2:AI2" si="2">IF($B16=13%,E16-E16*E13,0)</f>
        <v>0</v>
      </c>
      <c r="X2" s="9">
        <f t="shared" si="2"/>
        <v>0</v>
      </c>
      <c r="Y2" s="9">
        <f t="shared" si="2"/>
        <v>0</v>
      </c>
      <c r="Z2" s="9">
        <f t="shared" si="2"/>
        <v>0</v>
      </c>
      <c r="AA2" s="9">
        <f t="shared" si="2"/>
        <v>0</v>
      </c>
      <c r="AB2" s="9">
        <f t="shared" si="2"/>
        <v>0</v>
      </c>
      <c r="AC2" s="9">
        <f t="shared" si="2"/>
        <v>0</v>
      </c>
      <c r="AD2" s="9">
        <f t="shared" si="2"/>
        <v>0</v>
      </c>
      <c r="AE2" s="9">
        <f t="shared" si="2"/>
        <v>0</v>
      </c>
      <c r="AF2" s="9">
        <f t="shared" si="2"/>
        <v>0</v>
      </c>
      <c r="AG2" s="9">
        <f t="shared" si="2"/>
        <v>0</v>
      </c>
      <c r="AH2" s="9">
        <f t="shared" si="2"/>
        <v>0</v>
      </c>
      <c r="AI2" s="9">
        <f t="shared" si="2"/>
        <v>0</v>
      </c>
      <c r="AJ2" s="9">
        <f>SUM(X2:AI2)</f>
        <v>0</v>
      </c>
      <c r="AK2" s="9">
        <f>IF($B16=13%,S16-S16*S13,0)</f>
        <v>0</v>
      </c>
      <c r="AL2" s="9">
        <f>IF(Q16=13%,T16-T16*T13,0)</f>
        <v>0</v>
      </c>
      <c r="AM2" s="9">
        <f>IF(R16=13%,U16-U16*U13,0)</f>
        <v>0</v>
      </c>
    </row>
    <row r="3" spans="1:39" hidden="1" x14ac:dyDescent="0.2">
      <c r="A3" s="10"/>
      <c r="B3" s="10" t="s">
        <v>139</v>
      </c>
      <c r="C3" s="10"/>
      <c r="D3" s="11"/>
      <c r="E3" s="23">
        <f t="shared" ref="E3:Q3" si="3">E16+E21+E26+E31+E36+E41+E46+E51+E56+E61</f>
        <v>77500</v>
      </c>
      <c r="F3" s="12">
        <f t="shared" si="3"/>
        <v>0</v>
      </c>
      <c r="G3" s="12">
        <f t="shared" si="3"/>
        <v>0</v>
      </c>
      <c r="H3" s="12">
        <f t="shared" si="3"/>
        <v>0</v>
      </c>
      <c r="I3" s="12">
        <f t="shared" si="3"/>
        <v>0</v>
      </c>
      <c r="J3" s="12">
        <f t="shared" si="3"/>
        <v>0</v>
      </c>
      <c r="K3" s="12">
        <f t="shared" si="3"/>
        <v>0</v>
      </c>
      <c r="L3" s="12">
        <f t="shared" si="3"/>
        <v>0</v>
      </c>
      <c r="M3" s="12">
        <f t="shared" si="3"/>
        <v>0</v>
      </c>
      <c r="N3" s="12">
        <f t="shared" si="3"/>
        <v>0</v>
      </c>
      <c r="O3" s="12">
        <f t="shared" si="3"/>
        <v>0</v>
      </c>
      <c r="P3" s="12">
        <f t="shared" si="3"/>
        <v>0</v>
      </c>
      <c r="Q3" s="12">
        <f t="shared" si="3"/>
        <v>0</v>
      </c>
      <c r="R3" s="12">
        <f>SUM(F3:Q3)</f>
        <v>0</v>
      </c>
      <c r="S3" s="12">
        <f>S16+S21+S26+S31+S36+S41+S46+S51+S56+S61</f>
        <v>0</v>
      </c>
      <c r="T3" s="12">
        <f>T16+T21+T26+T31+T36+T41+T46+T51+T56+T61</f>
        <v>0</v>
      </c>
      <c r="U3" s="12">
        <f>U16+U21+U26+U31+U36+U41+U46+U51+U56+U61</f>
        <v>0</v>
      </c>
      <c r="W3" s="9">
        <f t="shared" ref="W3:AH3" si="4">IF($B21=13%,E21-E21*E18,0)</f>
        <v>0</v>
      </c>
      <c r="X3" s="9">
        <f t="shared" si="4"/>
        <v>0</v>
      </c>
      <c r="Y3" s="9">
        <f t="shared" si="4"/>
        <v>0</v>
      </c>
      <c r="Z3" s="9">
        <f t="shared" si="4"/>
        <v>0</v>
      </c>
      <c r="AA3" s="9">
        <f t="shared" si="4"/>
        <v>0</v>
      </c>
      <c r="AB3" s="9">
        <f t="shared" si="4"/>
        <v>0</v>
      </c>
      <c r="AC3" s="9">
        <f t="shared" si="4"/>
        <v>0</v>
      </c>
      <c r="AD3" s="9">
        <f t="shared" si="4"/>
        <v>0</v>
      </c>
      <c r="AE3" s="9">
        <f t="shared" si="4"/>
        <v>0</v>
      </c>
      <c r="AF3" s="9">
        <f t="shared" si="4"/>
        <v>0</v>
      </c>
      <c r="AG3" s="9">
        <f t="shared" si="4"/>
        <v>0</v>
      </c>
      <c r="AH3" s="9">
        <f t="shared" si="4"/>
        <v>0</v>
      </c>
      <c r="AI3" s="9">
        <f t="shared" ref="AI3" si="5">IF($B21=9%,Q21-Q21*Q18,0)</f>
        <v>0</v>
      </c>
      <c r="AJ3" s="9">
        <f t="shared" ref="AJ3:AJ11" si="6">SUM(X3:AI3)</f>
        <v>0</v>
      </c>
      <c r="AK3" s="9">
        <f>IF($B21=13%,S21-S21*S18,0)</f>
        <v>0</v>
      </c>
      <c r="AL3" s="9">
        <f>IF($B21=13%,T21-T21*T18,0)</f>
        <v>0</v>
      </c>
      <c r="AM3" s="9">
        <f>IF($B21=13%,U21-U21*U18,0)</f>
        <v>0</v>
      </c>
    </row>
    <row r="4" spans="1:39" hidden="1" x14ac:dyDescent="0.2">
      <c r="A4" s="10"/>
      <c r="B4" s="10" t="s">
        <v>140</v>
      </c>
      <c r="C4" s="10"/>
      <c r="D4" s="11"/>
      <c r="E4" s="23">
        <f>ROUND(E3/E2,0)</f>
        <v>1157</v>
      </c>
      <c r="F4" s="12">
        <f>IF(F2&gt;0,ROUND(F3/F2,0),0)</f>
        <v>0</v>
      </c>
      <c r="G4" s="12">
        <f t="shared" ref="G4:P4" si="7">IF(G2&gt;0,ROUND(G3/G2,0),0)</f>
        <v>0</v>
      </c>
      <c r="H4" s="12">
        <f t="shared" si="7"/>
        <v>0</v>
      </c>
      <c r="I4" s="12">
        <f t="shared" si="7"/>
        <v>0</v>
      </c>
      <c r="J4" s="12">
        <f t="shared" si="7"/>
        <v>0</v>
      </c>
      <c r="K4" s="12">
        <f t="shared" si="7"/>
        <v>0</v>
      </c>
      <c r="L4" s="12">
        <f t="shared" si="7"/>
        <v>0</v>
      </c>
      <c r="M4" s="12">
        <f t="shared" si="7"/>
        <v>0</v>
      </c>
      <c r="N4" s="12">
        <f t="shared" si="7"/>
        <v>0</v>
      </c>
      <c r="O4" s="12">
        <f t="shared" si="7"/>
        <v>0</v>
      </c>
      <c r="P4" s="12">
        <f t="shared" si="7"/>
        <v>0</v>
      </c>
      <c r="Q4" s="12">
        <f>IF(Q2&gt;0,ROUND(Q3/Q2,0),0)</f>
        <v>0</v>
      </c>
      <c r="R4" s="12">
        <f>IF(R2&gt;0,ROUND(R3/R2,0),0)</f>
        <v>0</v>
      </c>
      <c r="S4" s="12">
        <f>IF(S2&gt;0,ROUND(S3/S2,0),0)</f>
        <v>0</v>
      </c>
      <c r="T4" s="12">
        <f>IF(T2&gt;0,ROUND(T3/T2,0),0)</f>
        <v>0</v>
      </c>
      <c r="U4" s="12">
        <f>IF(U2&gt;0,ROUND(U3/U2,0),0)</f>
        <v>0</v>
      </c>
      <c r="W4" s="9">
        <f t="shared" ref="W4:AH4" si="8">IF($B26=13%,E26-E26*E23,0)</f>
        <v>0</v>
      </c>
      <c r="X4" s="9">
        <f t="shared" si="8"/>
        <v>0</v>
      </c>
      <c r="Y4" s="9">
        <f t="shared" si="8"/>
        <v>0</v>
      </c>
      <c r="Z4" s="9">
        <f t="shared" si="8"/>
        <v>0</v>
      </c>
      <c r="AA4" s="9">
        <f t="shared" si="8"/>
        <v>0</v>
      </c>
      <c r="AB4" s="9">
        <f t="shared" si="8"/>
        <v>0</v>
      </c>
      <c r="AC4" s="9">
        <f t="shared" si="8"/>
        <v>0</v>
      </c>
      <c r="AD4" s="9">
        <f t="shared" si="8"/>
        <v>0</v>
      </c>
      <c r="AE4" s="9">
        <f t="shared" si="8"/>
        <v>0</v>
      </c>
      <c r="AF4" s="9">
        <f t="shared" si="8"/>
        <v>0</v>
      </c>
      <c r="AG4" s="9">
        <f t="shared" si="8"/>
        <v>0</v>
      </c>
      <c r="AH4" s="9">
        <f t="shared" si="8"/>
        <v>0</v>
      </c>
      <c r="AI4" s="9">
        <f t="shared" ref="AI4" si="9">IF($B26=9%,Q26-Q26*Q23,0)</f>
        <v>0</v>
      </c>
      <c r="AJ4" s="9">
        <f t="shared" si="6"/>
        <v>0</v>
      </c>
      <c r="AK4" s="9">
        <f>IF($B26=13%,S26-S26*S23,0)</f>
        <v>0</v>
      </c>
      <c r="AL4" s="9">
        <f>IF($B26=13%,T26-T26*T23,0)</f>
        <v>0</v>
      </c>
      <c r="AM4" s="9">
        <f>IF($B26=13%,U26-U26*U23,0)</f>
        <v>0</v>
      </c>
    </row>
    <row r="5" spans="1:39" hidden="1" x14ac:dyDescent="0.2">
      <c r="A5" s="10"/>
      <c r="B5" s="10" t="s">
        <v>141</v>
      </c>
      <c r="C5" s="10"/>
      <c r="D5" s="11"/>
      <c r="E5" s="23">
        <f>E12*E15+E17*E20+E22*E25+E27*E30+E32*E35+E37*E40+E42*E45+E47*E50+E52*E55+E57*E60</f>
        <v>37900</v>
      </c>
      <c r="F5" s="12">
        <f t="shared" ref="F5:L5" si="10">ROUND(F12*F15+F17*F20+F22*F25+F27*F30+F32*F35+F37*F40+F42*F45+F47*F50+F52*F55+F57*F60,0)</f>
        <v>0</v>
      </c>
      <c r="G5" s="12">
        <f t="shared" si="10"/>
        <v>0</v>
      </c>
      <c r="H5" s="12">
        <f t="shared" si="10"/>
        <v>0</v>
      </c>
      <c r="I5" s="12">
        <f t="shared" si="10"/>
        <v>0</v>
      </c>
      <c r="J5" s="12">
        <f t="shared" si="10"/>
        <v>0</v>
      </c>
      <c r="K5" s="12">
        <f t="shared" si="10"/>
        <v>0</v>
      </c>
      <c r="L5" s="12">
        <f t="shared" si="10"/>
        <v>0</v>
      </c>
      <c r="M5" s="12">
        <f>ROUND(M12*M15+M17*M20+M22*M25+M27*M30+M32*M35+M37*M40+M42*M45+M47*M50+M52*M55+M57*M60,0)</f>
        <v>0</v>
      </c>
      <c r="N5" s="12">
        <f>ROUND(N12*N15+N17*N20+N22*N25+N27*N30+N32*N35+N37*N40+N42*N45+N47*N50+N52*N55+N57*N60,0)</f>
        <v>0</v>
      </c>
      <c r="O5" s="12">
        <f>ROUND(O12*O15+O17*O20+O22*O25+O27*O30+O32*O35+O37*O40+O42*O45+O47*O50+O52*O55+O57*O60,0)</f>
        <v>0</v>
      </c>
      <c r="P5" s="12">
        <f>ROUND(P12*P15+P17*P20+P22*P25+P27*P30+P32*P35+P37*P40+P42*P45+P47*P50+P52*P55+P57*P60,0)</f>
        <v>0</v>
      </c>
      <c r="Q5" s="12">
        <f>ROUND(Q12*Q15+Q17*Q20+Q22*Q25+Q27*Q30+Q32*Q35+Q37*Q40+Q42*Q45+Q47*Q50+Q52*Q55+Q57*Q60,0)</f>
        <v>0</v>
      </c>
      <c r="R5" s="12">
        <f>SUM(F5:Q5)</f>
        <v>0</v>
      </c>
      <c r="S5" s="12">
        <f>ROUND(S12*S15+S17*S20+S22*S25+S27*S30+S32*S35+S37*S40+S42*S45+S47*S50+S52*S55+S57*S60,0)</f>
        <v>0</v>
      </c>
      <c r="T5" s="12">
        <f>T12*T15+T17*T20+T22*T25+T27*T30+T32*T35+T37*T40+T42*T45+T47*T50+T52*T55+T57*T60</f>
        <v>0</v>
      </c>
      <c r="U5" s="12">
        <f>U12*U15+U17*U20+U22*U25+U27*U30+U32*U35+U37*U40+U42*U45+U47*U50+U52*U55+U57*U60</f>
        <v>0</v>
      </c>
      <c r="W5" s="9">
        <f>IF($B31=13%,E31-E31*E28,0)</f>
        <v>1500</v>
      </c>
      <c r="X5" s="9">
        <f t="shared" ref="X5:AH5" si="11">IF($B31=13%,F31-F31*F28,0)</f>
        <v>0</v>
      </c>
      <c r="Y5" s="9">
        <f t="shared" si="11"/>
        <v>0</v>
      </c>
      <c r="Z5" s="9">
        <f t="shared" si="11"/>
        <v>0</v>
      </c>
      <c r="AA5" s="9">
        <f t="shared" si="11"/>
        <v>0</v>
      </c>
      <c r="AB5" s="9">
        <f t="shared" si="11"/>
        <v>0</v>
      </c>
      <c r="AC5" s="9">
        <f t="shared" si="11"/>
        <v>0</v>
      </c>
      <c r="AD5" s="9">
        <f t="shared" si="11"/>
        <v>0</v>
      </c>
      <c r="AE5" s="9">
        <f t="shared" si="11"/>
        <v>0</v>
      </c>
      <c r="AF5" s="9">
        <f t="shared" si="11"/>
        <v>0</v>
      </c>
      <c r="AG5" s="9">
        <f t="shared" si="11"/>
        <v>0</v>
      </c>
      <c r="AH5" s="9">
        <f t="shared" si="11"/>
        <v>0</v>
      </c>
      <c r="AI5" s="9">
        <f t="shared" ref="AI5" si="12">IF($B31=9%,Q31-Q31*Q28,0)</f>
        <v>0</v>
      </c>
      <c r="AJ5" s="9">
        <f t="shared" si="6"/>
        <v>0</v>
      </c>
      <c r="AK5" s="9">
        <f>IF($B31=13%,S31-S31*S28,0)</f>
        <v>0</v>
      </c>
      <c r="AL5" s="9">
        <f>IF($B31=13%,T31-T31*T28,0)</f>
        <v>0</v>
      </c>
      <c r="AM5" s="9">
        <f>IF($B31=13%,U31-U31*U28,0)</f>
        <v>0</v>
      </c>
    </row>
    <row r="6" spans="1:39" hidden="1" x14ac:dyDescent="0.2">
      <c r="A6" s="10"/>
      <c r="B6" s="10" t="s">
        <v>142</v>
      </c>
      <c r="C6" s="10"/>
      <c r="D6" s="11"/>
      <c r="E6" s="23">
        <f>E12*E15*$C16+E17*E20*$C21+E22*E25*$C26+E27*E30*$C31+E32*E35*$C36+E37*E40*$C41+E42*E45*$C46+E47*E50*$C51+E52*E55*$C56+E57*E60*$C61</f>
        <v>10100</v>
      </c>
      <c r="F6" s="12">
        <f>ROUND(F12*F15*$C16+F17*F20*$C21+F22*F25*$C26+F27*F30*$C31+F32*F35*$C36+F37*F40*$C41+F42*F45*$C46+F47*F50*$C51+F52*F55*$C56+F57*F60*$C61,0)</f>
        <v>0</v>
      </c>
      <c r="G6" s="12">
        <f t="shared" ref="G6:Q6" si="13">ROUND(G12*G15*$C16+G17*G20*$C21+G22*G25*$C26+G27*G30*$C31+G32*G35*$C36+G37*G40*$C41+G42*G45*$C46+G47*G50*$C51+G52*G55*$C56+G57*G60*$C61,0)</f>
        <v>0</v>
      </c>
      <c r="H6" s="12">
        <f t="shared" si="13"/>
        <v>0</v>
      </c>
      <c r="I6" s="12">
        <f t="shared" si="13"/>
        <v>0</v>
      </c>
      <c r="J6" s="12">
        <f t="shared" si="13"/>
        <v>0</v>
      </c>
      <c r="K6" s="12">
        <f t="shared" si="13"/>
        <v>0</v>
      </c>
      <c r="L6" s="12">
        <f t="shared" si="13"/>
        <v>0</v>
      </c>
      <c r="M6" s="12">
        <f t="shared" si="13"/>
        <v>0</v>
      </c>
      <c r="N6" s="12">
        <f t="shared" si="13"/>
        <v>0</v>
      </c>
      <c r="O6" s="12">
        <f t="shared" si="13"/>
        <v>0</v>
      </c>
      <c r="P6" s="12">
        <f t="shared" si="13"/>
        <v>0</v>
      </c>
      <c r="Q6" s="12">
        <f t="shared" si="13"/>
        <v>0</v>
      </c>
      <c r="R6" s="12">
        <f>(ROUND(R12*R15*$C16+R17*R20*$C21+R22*R25*$C26+R27*R30*$C31+R32*R35*$C36+R37*R40*$C41+R42*R45*$C46+R47*R50*$C51+R52*R55*$C56+R57*R60*$C61,0))/12</f>
        <v>0</v>
      </c>
      <c r="S6" s="12">
        <f>(ROUND(S12*S15*$C16+S17*S20*$C21+S22*S25*$C26+S27*S30*$C31+S32*S35*$C36+S37*S40*$C41+S42*S45*$C46+S47*S50*$C51+S52*S55*$C56+S57*S60*$C61,0))/12</f>
        <v>0</v>
      </c>
      <c r="T6" s="12">
        <f>(ROUND(T12*T15*$C16+T17*T20*$C21+T22*T25*$C26+T27*T30*$C31+T32*T35*$C36+T37*T40*$C41+T42*T45*$C46+T47*T50*$C51+T52*T55*$C56+T57*T60*$C61,0))/12</f>
        <v>0</v>
      </c>
      <c r="U6" s="12">
        <f>(ROUND(U12*U15*$C16+U17*U20*$C21+U22*U25*$C26+U27*U30*$C31+U32*U35*$C36+U37*U40*$C41+U42*U45*$C46+U47*U50*$C51+U52*U55*$C56+U57*U60*$C61,0))/12</f>
        <v>0</v>
      </c>
      <c r="W6" s="9">
        <f t="shared" ref="W6:AH6" si="14">IF($B36=13%,E36-E36*E33,0)</f>
        <v>0</v>
      </c>
      <c r="X6" s="9">
        <f t="shared" si="14"/>
        <v>0</v>
      </c>
      <c r="Y6" s="9">
        <f t="shared" si="14"/>
        <v>0</v>
      </c>
      <c r="Z6" s="9">
        <f t="shared" si="14"/>
        <v>0</v>
      </c>
      <c r="AA6" s="9">
        <f t="shared" si="14"/>
        <v>0</v>
      </c>
      <c r="AB6" s="9">
        <f t="shared" si="14"/>
        <v>0</v>
      </c>
      <c r="AC6" s="9">
        <f t="shared" si="14"/>
        <v>0</v>
      </c>
      <c r="AD6" s="9">
        <f t="shared" si="14"/>
        <v>0</v>
      </c>
      <c r="AE6" s="9">
        <f t="shared" si="14"/>
        <v>0</v>
      </c>
      <c r="AF6" s="9">
        <f t="shared" si="14"/>
        <v>0</v>
      </c>
      <c r="AG6" s="9">
        <f t="shared" si="14"/>
        <v>0</v>
      </c>
      <c r="AH6" s="9">
        <f t="shared" si="14"/>
        <v>0</v>
      </c>
      <c r="AI6" s="9">
        <f t="shared" ref="AI6" si="15">IF($B36=9%,Q36-Q36*Q33,0)</f>
        <v>0</v>
      </c>
      <c r="AJ6" s="9">
        <f t="shared" si="6"/>
        <v>0</v>
      </c>
      <c r="AK6" s="9">
        <f>IF($B36=13%,S36-S36*S33,0)</f>
        <v>0</v>
      </c>
      <c r="AL6" s="9">
        <f>IF($B36=13%,T36-T36*T33,0)</f>
        <v>0</v>
      </c>
      <c r="AM6" s="9">
        <f>IF($B36=13%,U36-U36*U33,0)</f>
        <v>0</v>
      </c>
    </row>
    <row r="7" spans="1:39" hidden="1" x14ac:dyDescent="0.2">
      <c r="A7" s="10"/>
      <c r="B7" s="10" t="s">
        <v>143</v>
      </c>
      <c r="C7" s="10"/>
      <c r="D7" s="11"/>
      <c r="E7" s="23">
        <f>E6</f>
        <v>10100</v>
      </c>
      <c r="F7" s="12">
        <f>F6</f>
        <v>0</v>
      </c>
      <c r="G7" s="12">
        <f t="shared" ref="G7:Q7" si="16">G6</f>
        <v>0</v>
      </c>
      <c r="H7" s="12">
        <f t="shared" si="16"/>
        <v>0</v>
      </c>
      <c r="I7" s="12">
        <f t="shared" si="16"/>
        <v>0</v>
      </c>
      <c r="J7" s="12">
        <f t="shared" si="16"/>
        <v>0</v>
      </c>
      <c r="K7" s="12">
        <f t="shared" si="16"/>
        <v>0</v>
      </c>
      <c r="L7" s="12">
        <f t="shared" si="16"/>
        <v>0</v>
      </c>
      <c r="M7" s="12">
        <f t="shared" si="16"/>
        <v>0</v>
      </c>
      <c r="N7" s="12">
        <f t="shared" si="16"/>
        <v>0</v>
      </c>
      <c r="O7" s="12">
        <f t="shared" si="16"/>
        <v>0</v>
      </c>
      <c r="P7" s="12">
        <f t="shared" si="16"/>
        <v>0</v>
      </c>
      <c r="Q7" s="12">
        <f t="shared" si="16"/>
        <v>0</v>
      </c>
      <c r="R7" s="12">
        <f>Q7</f>
        <v>0</v>
      </c>
      <c r="S7" s="12">
        <f>S6</f>
        <v>0</v>
      </c>
      <c r="T7" s="12">
        <f>T6</f>
        <v>0</v>
      </c>
      <c r="U7" s="12">
        <f>U6</f>
        <v>0</v>
      </c>
      <c r="W7" s="9">
        <f t="shared" ref="W7:AH7" si="17">IF($B41=13%,E41-E41*E38,0)</f>
        <v>0</v>
      </c>
      <c r="X7" s="9">
        <f t="shared" si="17"/>
        <v>0</v>
      </c>
      <c r="Y7" s="9">
        <f t="shared" si="17"/>
        <v>0</v>
      </c>
      <c r="Z7" s="9">
        <f t="shared" si="17"/>
        <v>0</v>
      </c>
      <c r="AA7" s="9">
        <f t="shared" si="17"/>
        <v>0</v>
      </c>
      <c r="AB7" s="9">
        <f t="shared" si="17"/>
        <v>0</v>
      </c>
      <c r="AC7" s="9">
        <f t="shared" si="17"/>
        <v>0</v>
      </c>
      <c r="AD7" s="9">
        <f t="shared" si="17"/>
        <v>0</v>
      </c>
      <c r="AE7" s="9">
        <f t="shared" si="17"/>
        <v>0</v>
      </c>
      <c r="AF7" s="9">
        <f t="shared" si="17"/>
        <v>0</v>
      </c>
      <c r="AG7" s="9">
        <f t="shared" si="17"/>
        <v>0</v>
      </c>
      <c r="AH7" s="9">
        <f t="shared" si="17"/>
        <v>0</v>
      </c>
      <c r="AI7" s="9">
        <f t="shared" ref="AI7" si="18">IF($B41=9%,Q41-Q41*Q38,0)</f>
        <v>0</v>
      </c>
      <c r="AJ7" s="9">
        <f t="shared" si="6"/>
        <v>0</v>
      </c>
      <c r="AK7" s="9">
        <f>IF($B41=13%,S41-S41*S38,0)</f>
        <v>0</v>
      </c>
      <c r="AL7" s="9">
        <f>IF($B41=13%,T41-T41*T38,0)</f>
        <v>0</v>
      </c>
      <c r="AM7" s="9">
        <f>IF($B41=13%,U41-U41*U38,0)</f>
        <v>0</v>
      </c>
    </row>
    <row r="8" spans="1:39" hidden="1" x14ac:dyDescent="0.2">
      <c r="A8" s="10"/>
      <c r="B8" s="10" t="s">
        <v>144</v>
      </c>
      <c r="C8" s="10"/>
      <c r="D8" s="11"/>
      <c r="E8" s="23">
        <f>E5+E6</f>
        <v>48000</v>
      </c>
      <c r="F8" s="12">
        <f>F5+F6</f>
        <v>0</v>
      </c>
      <c r="G8" s="12">
        <f>G5+G6-F7</f>
        <v>0</v>
      </c>
      <c r="H8" s="12">
        <f t="shared" ref="H8:Q8" si="19">H5+H6-G7</f>
        <v>0</v>
      </c>
      <c r="I8" s="12">
        <f t="shared" si="19"/>
        <v>0</v>
      </c>
      <c r="J8" s="12">
        <f t="shared" si="19"/>
        <v>0</v>
      </c>
      <c r="K8" s="12">
        <f t="shared" si="19"/>
        <v>0</v>
      </c>
      <c r="L8" s="12">
        <f t="shared" si="19"/>
        <v>0</v>
      </c>
      <c r="M8" s="12">
        <f t="shared" si="19"/>
        <v>0</v>
      </c>
      <c r="N8" s="12">
        <f t="shared" si="19"/>
        <v>0</v>
      </c>
      <c r="O8" s="12">
        <f t="shared" si="19"/>
        <v>0</v>
      </c>
      <c r="P8" s="12">
        <f t="shared" si="19"/>
        <v>0</v>
      </c>
      <c r="Q8" s="12">
        <f t="shared" si="19"/>
        <v>0</v>
      </c>
      <c r="R8" s="12">
        <f>SUM(F8:Q8)</f>
        <v>0</v>
      </c>
      <c r="S8" s="12">
        <f>S5+S6-Q7</f>
        <v>0</v>
      </c>
      <c r="T8" s="12">
        <f>T5+T6-S7</f>
        <v>0</v>
      </c>
      <c r="U8" s="12">
        <f>U5+U6-T7</f>
        <v>0</v>
      </c>
      <c r="W8" s="9">
        <f t="shared" ref="W8:AH8" si="20">IF($B46=13%,E46-E46*E43,0)</f>
        <v>0</v>
      </c>
      <c r="X8" s="9">
        <f t="shared" si="20"/>
        <v>0</v>
      </c>
      <c r="Y8" s="9">
        <f t="shared" si="20"/>
        <v>0</v>
      </c>
      <c r="Z8" s="9">
        <f t="shared" si="20"/>
        <v>0</v>
      </c>
      <c r="AA8" s="9">
        <f t="shared" si="20"/>
        <v>0</v>
      </c>
      <c r="AB8" s="9">
        <f t="shared" si="20"/>
        <v>0</v>
      </c>
      <c r="AC8" s="9">
        <f t="shared" si="20"/>
        <v>0</v>
      </c>
      <c r="AD8" s="9">
        <f t="shared" si="20"/>
        <v>0</v>
      </c>
      <c r="AE8" s="9">
        <f t="shared" si="20"/>
        <v>0</v>
      </c>
      <c r="AF8" s="9">
        <f t="shared" si="20"/>
        <v>0</v>
      </c>
      <c r="AG8" s="9">
        <f t="shared" si="20"/>
        <v>0</v>
      </c>
      <c r="AH8" s="9">
        <f t="shared" si="20"/>
        <v>0</v>
      </c>
      <c r="AI8" s="9">
        <f t="shared" ref="AI8" si="21">IF($B46=9%,Q46-Q46*Q43,0)</f>
        <v>0</v>
      </c>
      <c r="AJ8" s="9">
        <f t="shared" si="6"/>
        <v>0</v>
      </c>
      <c r="AK8" s="9">
        <f>IF($B46=13%,S46-S46*S43,0)</f>
        <v>0</v>
      </c>
      <c r="AL8" s="9">
        <f>IF($B46=13%,T46-T46*T43,0)</f>
        <v>0</v>
      </c>
      <c r="AM8" s="9">
        <f>IF($B46=13%,U46-U46*U43,0)</f>
        <v>0</v>
      </c>
    </row>
    <row r="9" spans="1:39" hidden="1" x14ac:dyDescent="0.2">
      <c r="A9" s="10"/>
      <c r="B9" s="10" t="s">
        <v>146</v>
      </c>
      <c r="C9" s="10"/>
      <c r="D9" s="11"/>
      <c r="E9" s="23">
        <f>SUM(W2:W11)</f>
        <v>1500</v>
      </c>
      <c r="F9" s="12">
        <f>SUM(X2:X11)</f>
        <v>0</v>
      </c>
      <c r="G9" s="12">
        <f t="shared" ref="G9:S9" si="22">SUM(Y2:Y11)</f>
        <v>0</v>
      </c>
      <c r="H9" s="12">
        <f t="shared" si="22"/>
        <v>0</v>
      </c>
      <c r="I9" s="12">
        <f t="shared" si="22"/>
        <v>0</v>
      </c>
      <c r="J9" s="12">
        <f t="shared" si="22"/>
        <v>0</v>
      </c>
      <c r="K9" s="12">
        <f t="shared" si="22"/>
        <v>0</v>
      </c>
      <c r="L9" s="12">
        <f t="shared" si="22"/>
        <v>0</v>
      </c>
      <c r="M9" s="12">
        <f t="shared" si="22"/>
        <v>0</v>
      </c>
      <c r="N9" s="12">
        <f t="shared" si="22"/>
        <v>0</v>
      </c>
      <c r="O9" s="12">
        <f t="shared" si="22"/>
        <v>0</v>
      </c>
      <c r="P9" s="12">
        <f t="shared" si="22"/>
        <v>0</v>
      </c>
      <c r="Q9" s="12">
        <f t="shared" si="22"/>
        <v>0</v>
      </c>
      <c r="R9" s="12">
        <f>SUM(F9:Q9)</f>
        <v>0</v>
      </c>
      <c r="S9" s="12">
        <f t="shared" si="22"/>
        <v>0</v>
      </c>
      <c r="T9" s="12">
        <f>SUM(AL2:AL11)</f>
        <v>0</v>
      </c>
      <c r="U9" s="12">
        <f>SUM(AM2:AM11)</f>
        <v>0</v>
      </c>
      <c r="W9" s="9">
        <f t="shared" ref="W9:AH9" si="23">IF($B51=13%,E51-E51*E48,0)</f>
        <v>0</v>
      </c>
      <c r="X9" s="9">
        <f t="shared" si="23"/>
        <v>0</v>
      </c>
      <c r="Y9" s="9">
        <f t="shared" si="23"/>
        <v>0</v>
      </c>
      <c r="Z9" s="9">
        <f t="shared" si="23"/>
        <v>0</v>
      </c>
      <c r="AA9" s="9">
        <f t="shared" si="23"/>
        <v>0</v>
      </c>
      <c r="AB9" s="9">
        <f t="shared" si="23"/>
        <v>0</v>
      </c>
      <c r="AC9" s="9">
        <f t="shared" si="23"/>
        <v>0</v>
      </c>
      <c r="AD9" s="9">
        <f t="shared" si="23"/>
        <v>0</v>
      </c>
      <c r="AE9" s="9">
        <f t="shared" si="23"/>
        <v>0</v>
      </c>
      <c r="AF9" s="9">
        <f t="shared" si="23"/>
        <v>0</v>
      </c>
      <c r="AG9" s="9">
        <f t="shared" si="23"/>
        <v>0</v>
      </c>
      <c r="AH9" s="9">
        <f t="shared" si="23"/>
        <v>0</v>
      </c>
      <c r="AI9" s="9">
        <f t="shared" ref="AI9" si="24">IF($B51=9%,Q51-Q51*Q48,0)</f>
        <v>0</v>
      </c>
      <c r="AJ9" s="9">
        <f t="shared" si="6"/>
        <v>0</v>
      </c>
      <c r="AK9" s="9">
        <f>IF($B51=13%,S51-S51*S48,0)</f>
        <v>0</v>
      </c>
      <c r="AL9" s="9">
        <f>IF($B51=13%,T51-T51*T48,0)</f>
        <v>0</v>
      </c>
      <c r="AM9" s="9">
        <f>IF($B51=13%,U51-U51*U48,0)</f>
        <v>0</v>
      </c>
    </row>
    <row r="10" spans="1:39" hidden="1" x14ac:dyDescent="0.2">
      <c r="A10" s="10"/>
      <c r="B10" s="10" t="s">
        <v>86</v>
      </c>
      <c r="C10" s="10"/>
      <c r="D10" s="11"/>
      <c r="E10" s="23">
        <f t="shared" ref="E10:Q10" si="25">E13*E16+E18*E21+E23*E26+E28*E31+E33*E36+E38*E41+E43*E46+E48*E51+E53*E56+E58*E61</f>
        <v>12000</v>
      </c>
      <c r="F10" s="12">
        <f t="shared" si="25"/>
        <v>0</v>
      </c>
      <c r="G10" s="12">
        <f t="shared" si="25"/>
        <v>0</v>
      </c>
      <c r="H10" s="12">
        <f t="shared" si="25"/>
        <v>0</v>
      </c>
      <c r="I10" s="12">
        <f t="shared" si="25"/>
        <v>0</v>
      </c>
      <c r="J10" s="12">
        <f t="shared" si="25"/>
        <v>0</v>
      </c>
      <c r="K10" s="12">
        <f t="shared" si="25"/>
        <v>0</v>
      </c>
      <c r="L10" s="12">
        <f t="shared" si="25"/>
        <v>0</v>
      </c>
      <c r="M10" s="12">
        <f t="shared" si="25"/>
        <v>0</v>
      </c>
      <c r="N10" s="12">
        <f t="shared" si="25"/>
        <v>0</v>
      </c>
      <c r="O10" s="12">
        <f t="shared" si="25"/>
        <v>0</v>
      </c>
      <c r="P10" s="12">
        <f t="shared" si="25"/>
        <v>0</v>
      </c>
      <c r="Q10" s="12">
        <f t="shared" si="25"/>
        <v>0</v>
      </c>
      <c r="R10" s="12">
        <f>SUM(F10:Q10)</f>
        <v>0</v>
      </c>
      <c r="S10" s="12">
        <f>S13*S16+S18*S21+S23*S26+S28*S31+S33*S36+S38*S41+S43*S46+S48*S51+S53*S56+S58*S61</f>
        <v>0</v>
      </c>
      <c r="T10" s="12">
        <f>T13*T16+T18*T21+T23*T26+T28*T31+T33*T36+T38*T41+T43*T46+T48*T51+T53*T56+T58*T61</f>
        <v>0</v>
      </c>
      <c r="U10" s="12">
        <f>U13*U16+U18*U21+U23*U26+U28*U31+U33*U36+U38*U41+U43*U46+U48*U51+U53*U56+U58*U61</f>
        <v>0</v>
      </c>
      <c r="W10" s="9">
        <f t="shared" ref="W10:AH10" si="26">IF($B56=13%,E56-E56*E53,0)</f>
        <v>0</v>
      </c>
      <c r="X10" s="9">
        <f t="shared" si="26"/>
        <v>0</v>
      </c>
      <c r="Y10" s="9">
        <f t="shared" si="26"/>
        <v>0</v>
      </c>
      <c r="Z10" s="9">
        <f t="shared" si="26"/>
        <v>0</v>
      </c>
      <c r="AA10" s="9">
        <f t="shared" si="26"/>
        <v>0</v>
      </c>
      <c r="AB10" s="9">
        <f t="shared" si="26"/>
        <v>0</v>
      </c>
      <c r="AC10" s="9">
        <f t="shared" si="26"/>
        <v>0</v>
      </c>
      <c r="AD10" s="9">
        <f t="shared" si="26"/>
        <v>0</v>
      </c>
      <c r="AE10" s="9">
        <f t="shared" si="26"/>
        <v>0</v>
      </c>
      <c r="AF10" s="9">
        <f t="shared" si="26"/>
        <v>0</v>
      </c>
      <c r="AG10" s="9">
        <f t="shared" si="26"/>
        <v>0</v>
      </c>
      <c r="AH10" s="9">
        <f t="shared" si="26"/>
        <v>0</v>
      </c>
      <c r="AI10" s="9">
        <f t="shared" ref="AI10" si="27">IF($B56=9%,Q56-Q56*Q53,0)</f>
        <v>0</v>
      </c>
      <c r="AJ10" s="9">
        <f t="shared" si="6"/>
        <v>0</v>
      </c>
      <c r="AK10" s="9">
        <f>IF($B56=13%,S56-S56*S53,0)</f>
        <v>0</v>
      </c>
      <c r="AL10" s="9">
        <f>IF($B56=13%,T56-T56*T53,0)</f>
        <v>0</v>
      </c>
      <c r="AM10" s="9">
        <f>IF($B56=13%,U56-U56*U53,0)</f>
        <v>0</v>
      </c>
    </row>
    <row r="11" spans="1:39" ht="10.8" hidden="1" thickBot="1" x14ac:dyDescent="0.25">
      <c r="A11" s="13"/>
      <c r="B11" s="13"/>
      <c r="C11" s="13"/>
      <c r="D11" s="14"/>
      <c r="E11" s="24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W11" s="9">
        <f t="shared" ref="W11:AH11" si="28">IF($B61=13%,E61-E61*E58,0)</f>
        <v>0</v>
      </c>
      <c r="X11" s="9">
        <f t="shared" si="28"/>
        <v>0</v>
      </c>
      <c r="Y11" s="9">
        <f t="shared" si="28"/>
        <v>0</v>
      </c>
      <c r="Z11" s="9">
        <f t="shared" si="28"/>
        <v>0</v>
      </c>
      <c r="AA11" s="9">
        <f t="shared" si="28"/>
        <v>0</v>
      </c>
      <c r="AB11" s="9">
        <f t="shared" si="28"/>
        <v>0</v>
      </c>
      <c r="AC11" s="9">
        <f t="shared" si="28"/>
        <v>0</v>
      </c>
      <c r="AD11" s="9">
        <f t="shared" si="28"/>
        <v>0</v>
      </c>
      <c r="AE11" s="9">
        <f t="shared" si="28"/>
        <v>0</v>
      </c>
      <c r="AF11" s="9">
        <f t="shared" si="28"/>
        <v>0</v>
      </c>
      <c r="AG11" s="9">
        <f t="shared" si="28"/>
        <v>0</v>
      </c>
      <c r="AH11" s="9">
        <f t="shared" si="28"/>
        <v>0</v>
      </c>
      <c r="AI11" s="9">
        <f t="shared" ref="AI11" si="29">IF($B61=9%,Q61-Q61*Q58,0)</f>
        <v>0</v>
      </c>
      <c r="AJ11" s="9">
        <f t="shared" si="6"/>
        <v>0</v>
      </c>
      <c r="AK11" s="9">
        <f>IF($B61=13%,S61-S61*S58,0)</f>
        <v>0</v>
      </c>
      <c r="AL11" s="9">
        <f>IF($B61=13%,T61-T61*T58,0)</f>
        <v>0</v>
      </c>
      <c r="AM11" s="9">
        <f>IF($B61=13%,U61-U61*U58,0)</f>
        <v>0</v>
      </c>
    </row>
    <row r="12" spans="1:39" ht="10.8" thickTop="1" x14ac:dyDescent="0.2">
      <c r="A12" s="274">
        <v>1</v>
      </c>
      <c r="B12" s="286" t="s">
        <v>136</v>
      </c>
      <c r="C12" s="287"/>
      <c r="D12" s="16" t="s">
        <v>186</v>
      </c>
      <c r="E12" s="25">
        <v>2</v>
      </c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2">
        <f>SUM(F12:Q12)</f>
        <v>0</v>
      </c>
      <c r="S12" s="171"/>
      <c r="T12" s="171"/>
      <c r="U12" s="173"/>
    </row>
    <row r="13" spans="1:39" x14ac:dyDescent="0.2">
      <c r="A13" s="275"/>
      <c r="B13" s="288"/>
      <c r="C13" s="289"/>
      <c r="D13" s="17" t="s">
        <v>67</v>
      </c>
      <c r="E13" s="26">
        <v>0.5</v>
      </c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7"/>
      <c r="S13" s="116"/>
      <c r="T13" s="116"/>
      <c r="U13" s="118"/>
    </row>
    <row r="14" spans="1:39" x14ac:dyDescent="0.2">
      <c r="A14" s="275"/>
      <c r="B14" s="290"/>
      <c r="C14" s="291"/>
      <c r="D14" s="8" t="s">
        <v>89</v>
      </c>
      <c r="E14" s="23">
        <v>12000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  <c r="S14" s="32"/>
      <c r="T14" s="32"/>
      <c r="U14" s="32"/>
    </row>
    <row r="15" spans="1:39" ht="30.6" x14ac:dyDescent="0.2">
      <c r="A15" s="275"/>
      <c r="B15" s="18" t="s">
        <v>77</v>
      </c>
      <c r="C15" s="18" t="s">
        <v>85</v>
      </c>
      <c r="D15" s="8" t="s">
        <v>106</v>
      </c>
      <c r="E15" s="23">
        <v>8000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3"/>
      <c r="S15" s="32"/>
      <c r="T15" s="32"/>
      <c r="U15" s="34"/>
    </row>
    <row r="16" spans="1:39" ht="10.8" thickBot="1" x14ac:dyDescent="0.25">
      <c r="A16" s="276"/>
      <c r="B16" s="265">
        <v>0.22</v>
      </c>
      <c r="C16" s="265">
        <v>0.5</v>
      </c>
      <c r="D16" s="19" t="s">
        <v>72</v>
      </c>
      <c r="E16" s="27">
        <f>E12*E14</f>
        <v>24000</v>
      </c>
      <c r="F16" s="35">
        <f>F12*F14</f>
        <v>0</v>
      </c>
      <c r="G16" s="35">
        <f t="shared" ref="G16:U16" si="30">G12*G14</f>
        <v>0</v>
      </c>
      <c r="H16" s="35">
        <f t="shared" si="30"/>
        <v>0</v>
      </c>
      <c r="I16" s="35">
        <f t="shared" si="30"/>
        <v>0</v>
      </c>
      <c r="J16" s="35">
        <f t="shared" si="30"/>
        <v>0</v>
      </c>
      <c r="K16" s="35">
        <f t="shared" si="30"/>
        <v>0</v>
      </c>
      <c r="L16" s="35">
        <f t="shared" si="30"/>
        <v>0</v>
      </c>
      <c r="M16" s="35">
        <f t="shared" si="30"/>
        <v>0</v>
      </c>
      <c r="N16" s="35">
        <f t="shared" si="30"/>
        <v>0</v>
      </c>
      <c r="O16" s="35">
        <f t="shared" si="30"/>
        <v>0</v>
      </c>
      <c r="P16" s="35">
        <f t="shared" si="30"/>
        <v>0</v>
      </c>
      <c r="Q16" s="35">
        <f t="shared" si="30"/>
        <v>0</v>
      </c>
      <c r="R16" s="35">
        <f>SUM(F16:Q16)</f>
        <v>0</v>
      </c>
      <c r="S16" s="35">
        <f t="shared" si="30"/>
        <v>0</v>
      </c>
      <c r="T16" s="35">
        <f t="shared" si="30"/>
        <v>0</v>
      </c>
      <c r="U16" s="36">
        <f t="shared" si="30"/>
        <v>0</v>
      </c>
    </row>
    <row r="17" spans="1:22" ht="10.8" thickTop="1" x14ac:dyDescent="0.2">
      <c r="A17" s="274">
        <v>2</v>
      </c>
      <c r="B17" s="280" t="s">
        <v>87</v>
      </c>
      <c r="C17" s="281"/>
      <c r="D17" s="16" t="s">
        <v>186</v>
      </c>
      <c r="E17" s="25">
        <v>15</v>
      </c>
      <c r="F17" s="31"/>
      <c r="G17" s="31"/>
      <c r="H17" s="31"/>
      <c r="I17" s="31"/>
      <c r="J17" s="168"/>
      <c r="K17" s="168"/>
      <c r="L17" s="168"/>
      <c r="M17" s="168"/>
      <c r="N17" s="168"/>
      <c r="O17" s="168"/>
      <c r="P17" s="168"/>
      <c r="Q17" s="168"/>
      <c r="R17" s="169">
        <f>SUM(F17:Q17)</f>
        <v>0</v>
      </c>
      <c r="S17" s="168"/>
      <c r="T17" s="168"/>
      <c r="U17" s="170"/>
    </row>
    <row r="18" spans="1:22" x14ac:dyDescent="0.2">
      <c r="A18" s="275"/>
      <c r="B18" s="282"/>
      <c r="C18" s="282"/>
      <c r="D18" s="17" t="s">
        <v>67</v>
      </c>
      <c r="E18" s="26">
        <v>0</v>
      </c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7"/>
      <c r="S18" s="116"/>
      <c r="T18" s="116"/>
      <c r="U18" s="118"/>
    </row>
    <row r="19" spans="1:22" x14ac:dyDescent="0.2">
      <c r="A19" s="275"/>
      <c r="B19" s="282"/>
      <c r="C19" s="282"/>
      <c r="D19" s="8" t="s">
        <v>89</v>
      </c>
      <c r="E19" s="23">
        <v>3000</v>
      </c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3"/>
      <c r="S19" s="32"/>
      <c r="T19" s="32"/>
      <c r="U19" s="34"/>
    </row>
    <row r="20" spans="1:22" ht="30.6" x14ac:dyDescent="0.2">
      <c r="A20" s="275"/>
      <c r="B20" s="18" t="s">
        <v>77</v>
      </c>
      <c r="C20" s="18" t="s">
        <v>85</v>
      </c>
      <c r="D20" s="8" t="s">
        <v>107</v>
      </c>
      <c r="E20" s="23">
        <v>1400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3"/>
      <c r="S20" s="32"/>
      <c r="T20" s="32"/>
      <c r="U20" s="34"/>
    </row>
    <row r="21" spans="1:22" ht="10.8" thickBot="1" x14ac:dyDescent="0.25">
      <c r="A21" s="276"/>
      <c r="B21" s="265">
        <v>0.22</v>
      </c>
      <c r="C21" s="265">
        <v>0.1</v>
      </c>
      <c r="D21" s="19" t="s">
        <v>83</v>
      </c>
      <c r="E21" s="27">
        <f>E17*E19</f>
        <v>45000</v>
      </c>
      <c r="F21" s="35">
        <f t="shared" ref="F21:Q21" si="31">F17*F19</f>
        <v>0</v>
      </c>
      <c r="G21" s="35">
        <f t="shared" si="31"/>
        <v>0</v>
      </c>
      <c r="H21" s="35">
        <f t="shared" si="31"/>
        <v>0</v>
      </c>
      <c r="I21" s="35">
        <f t="shared" si="31"/>
        <v>0</v>
      </c>
      <c r="J21" s="35">
        <f t="shared" si="31"/>
        <v>0</v>
      </c>
      <c r="K21" s="35">
        <f t="shared" si="31"/>
        <v>0</v>
      </c>
      <c r="L21" s="35">
        <f t="shared" si="31"/>
        <v>0</v>
      </c>
      <c r="M21" s="35">
        <f t="shared" si="31"/>
        <v>0</v>
      </c>
      <c r="N21" s="35">
        <f t="shared" si="31"/>
        <v>0</v>
      </c>
      <c r="O21" s="35">
        <f t="shared" si="31"/>
        <v>0</v>
      </c>
      <c r="P21" s="35">
        <f t="shared" si="31"/>
        <v>0</v>
      </c>
      <c r="Q21" s="35">
        <f t="shared" si="31"/>
        <v>0</v>
      </c>
      <c r="R21" s="35">
        <f>SUM(F21:Q21)</f>
        <v>0</v>
      </c>
      <c r="S21" s="35">
        <f>S17*S19</f>
        <v>0</v>
      </c>
      <c r="T21" s="35">
        <f>T17*T19</f>
        <v>0</v>
      </c>
      <c r="U21" s="36">
        <f>U17*U19</f>
        <v>0</v>
      </c>
    </row>
    <row r="22" spans="1:22" ht="10.8" thickTop="1" x14ac:dyDescent="0.2">
      <c r="A22" s="274">
        <v>3</v>
      </c>
      <c r="B22" s="280" t="s">
        <v>137</v>
      </c>
      <c r="C22" s="281"/>
      <c r="D22" s="16" t="s">
        <v>186</v>
      </c>
      <c r="E22" s="25">
        <v>20</v>
      </c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9">
        <f>SUM(F22:Q22)</f>
        <v>0</v>
      </c>
      <c r="S22" s="168"/>
      <c r="T22" s="168"/>
      <c r="U22" s="170"/>
    </row>
    <row r="23" spans="1:22" x14ac:dyDescent="0.2">
      <c r="A23" s="275"/>
      <c r="B23" s="282"/>
      <c r="C23" s="282"/>
      <c r="D23" s="17" t="s">
        <v>67</v>
      </c>
      <c r="E23" s="26">
        <v>0</v>
      </c>
      <c r="F23" s="116"/>
      <c r="G23" s="116"/>
      <c r="H23" s="116"/>
      <c r="I23" s="116"/>
      <c r="J23" s="116"/>
      <c r="K23" s="116"/>
      <c r="L23" s="116"/>
      <c r="M23" s="116"/>
      <c r="N23" s="116"/>
      <c r="O23" s="116"/>
      <c r="P23" s="116"/>
      <c r="Q23" s="116"/>
      <c r="R23" s="117"/>
      <c r="S23" s="116"/>
      <c r="T23" s="116"/>
      <c r="U23" s="118"/>
    </row>
    <row r="24" spans="1:22" x14ac:dyDescent="0.2">
      <c r="A24" s="275"/>
      <c r="B24" s="282"/>
      <c r="C24" s="282"/>
      <c r="D24" s="8" t="s">
        <v>89</v>
      </c>
      <c r="E24" s="23">
        <v>350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3"/>
      <c r="S24" s="32"/>
      <c r="T24" s="32"/>
      <c r="U24" s="34"/>
    </row>
    <row r="25" spans="1:22" ht="30.6" x14ac:dyDescent="0.2">
      <c r="A25" s="275"/>
      <c r="B25" s="18" t="s">
        <v>77</v>
      </c>
      <c r="C25" s="18" t="s">
        <v>85</v>
      </c>
      <c r="D25" s="8" t="s">
        <v>107</v>
      </c>
      <c r="E25" s="23">
        <v>0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3"/>
      <c r="S25" s="32"/>
      <c r="T25" s="32"/>
      <c r="U25" s="34"/>
    </row>
    <row r="26" spans="1:22" ht="10.8" thickBot="1" x14ac:dyDescent="0.25">
      <c r="A26" s="276"/>
      <c r="B26" s="266">
        <v>0.22</v>
      </c>
      <c r="C26" s="266">
        <v>0</v>
      </c>
      <c r="D26" s="19" t="s">
        <v>84</v>
      </c>
      <c r="E26" s="27">
        <f>E22*E24</f>
        <v>7000</v>
      </c>
      <c r="F26" s="35">
        <f t="shared" ref="F26:Q26" si="32">F22*F24</f>
        <v>0</v>
      </c>
      <c r="G26" s="35">
        <f t="shared" si="32"/>
        <v>0</v>
      </c>
      <c r="H26" s="35">
        <f t="shared" si="32"/>
        <v>0</v>
      </c>
      <c r="I26" s="35">
        <f t="shared" si="32"/>
        <v>0</v>
      </c>
      <c r="J26" s="35">
        <f t="shared" si="32"/>
        <v>0</v>
      </c>
      <c r="K26" s="35">
        <f t="shared" si="32"/>
        <v>0</v>
      </c>
      <c r="L26" s="35">
        <f t="shared" si="32"/>
        <v>0</v>
      </c>
      <c r="M26" s="35">
        <f t="shared" si="32"/>
        <v>0</v>
      </c>
      <c r="N26" s="35">
        <f t="shared" si="32"/>
        <v>0</v>
      </c>
      <c r="O26" s="35">
        <f t="shared" si="32"/>
        <v>0</v>
      </c>
      <c r="P26" s="35">
        <f t="shared" si="32"/>
        <v>0</v>
      </c>
      <c r="Q26" s="35">
        <f t="shared" si="32"/>
        <v>0</v>
      </c>
      <c r="R26" s="35">
        <f>SUM(F26:Q26)</f>
        <v>0</v>
      </c>
      <c r="S26" s="35">
        <f>S22*S24</f>
        <v>0</v>
      </c>
      <c r="T26" s="35">
        <f>T22*T24</f>
        <v>0</v>
      </c>
      <c r="U26" s="36">
        <f>U22*U24</f>
        <v>0</v>
      </c>
    </row>
    <row r="27" spans="1:22" ht="10.8" thickTop="1" x14ac:dyDescent="0.2">
      <c r="A27" s="274">
        <v>4</v>
      </c>
      <c r="B27" s="280" t="s">
        <v>145</v>
      </c>
      <c r="C27" s="281"/>
      <c r="D27" s="16" t="s">
        <v>186</v>
      </c>
      <c r="E27" s="25">
        <v>30</v>
      </c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9">
        <f>SUM(F27:Q27)</f>
        <v>0</v>
      </c>
      <c r="S27" s="168"/>
      <c r="T27" s="168"/>
      <c r="U27" s="170"/>
    </row>
    <row r="28" spans="1:22" x14ac:dyDescent="0.2">
      <c r="A28" s="275"/>
      <c r="B28" s="282"/>
      <c r="C28" s="282"/>
      <c r="D28" s="17" t="s">
        <v>67</v>
      </c>
      <c r="E28" s="26">
        <v>0</v>
      </c>
      <c r="F28" s="116"/>
      <c r="G28" s="116"/>
      <c r="H28" s="116"/>
      <c r="I28" s="116"/>
      <c r="J28" s="116"/>
      <c r="K28" s="116"/>
      <c r="L28" s="116"/>
      <c r="M28" s="116"/>
      <c r="N28" s="116"/>
      <c r="O28" s="116"/>
      <c r="P28" s="116"/>
      <c r="Q28" s="116"/>
      <c r="R28" s="117"/>
      <c r="S28" s="116"/>
      <c r="T28" s="116"/>
      <c r="U28" s="118"/>
    </row>
    <row r="29" spans="1:22" x14ac:dyDescent="0.2">
      <c r="A29" s="275"/>
      <c r="B29" s="282"/>
      <c r="C29" s="282"/>
      <c r="D29" s="8" t="s">
        <v>89</v>
      </c>
      <c r="E29" s="23">
        <v>50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3"/>
      <c r="S29" s="32"/>
      <c r="T29" s="32"/>
      <c r="U29" s="34"/>
    </row>
    <row r="30" spans="1:22" ht="30.6" x14ac:dyDescent="0.2">
      <c r="A30" s="275"/>
      <c r="B30" s="18" t="s">
        <v>77</v>
      </c>
      <c r="C30" s="18" t="s">
        <v>85</v>
      </c>
      <c r="D30" s="8" t="s">
        <v>76</v>
      </c>
      <c r="E30" s="23">
        <v>30</v>
      </c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3"/>
      <c r="S30" s="32"/>
      <c r="T30" s="32"/>
      <c r="U30" s="34"/>
    </row>
    <row r="31" spans="1:22" ht="10.8" thickBot="1" x14ac:dyDescent="0.25">
      <c r="A31" s="276"/>
      <c r="B31" s="266">
        <v>0.13</v>
      </c>
      <c r="C31" s="266">
        <v>0</v>
      </c>
      <c r="D31" s="19" t="s">
        <v>73</v>
      </c>
      <c r="E31" s="27">
        <f>E27*E29</f>
        <v>1500</v>
      </c>
      <c r="F31" s="35">
        <f t="shared" ref="F31:Q31" si="33">F27*F29</f>
        <v>0</v>
      </c>
      <c r="G31" s="35">
        <f t="shared" si="33"/>
        <v>0</v>
      </c>
      <c r="H31" s="35">
        <f t="shared" si="33"/>
        <v>0</v>
      </c>
      <c r="I31" s="35">
        <f t="shared" si="33"/>
        <v>0</v>
      </c>
      <c r="J31" s="35">
        <f t="shared" si="33"/>
        <v>0</v>
      </c>
      <c r="K31" s="35">
        <f t="shared" si="33"/>
        <v>0</v>
      </c>
      <c r="L31" s="35">
        <f t="shared" si="33"/>
        <v>0</v>
      </c>
      <c r="M31" s="35">
        <f t="shared" si="33"/>
        <v>0</v>
      </c>
      <c r="N31" s="35">
        <f t="shared" si="33"/>
        <v>0</v>
      </c>
      <c r="O31" s="35">
        <f t="shared" si="33"/>
        <v>0</v>
      </c>
      <c r="P31" s="35">
        <f t="shared" si="33"/>
        <v>0</v>
      </c>
      <c r="Q31" s="35">
        <f t="shared" si="33"/>
        <v>0</v>
      </c>
      <c r="R31" s="35">
        <f>SUM(F31:Q31)</f>
        <v>0</v>
      </c>
      <c r="S31" s="35">
        <f>S27*S29</f>
        <v>0</v>
      </c>
      <c r="T31" s="35">
        <f>T27*T29</f>
        <v>0</v>
      </c>
      <c r="U31" s="36">
        <f>U27*U29</f>
        <v>0</v>
      </c>
    </row>
    <row r="32" spans="1:22" ht="10.8" thickTop="1" x14ac:dyDescent="0.2">
      <c r="A32" s="274">
        <v>5</v>
      </c>
      <c r="B32" s="277"/>
      <c r="C32" s="278"/>
      <c r="D32" s="16" t="s">
        <v>186</v>
      </c>
      <c r="E32" s="25"/>
      <c r="F32" s="171"/>
      <c r="G32" s="171"/>
      <c r="H32" s="171"/>
      <c r="I32" s="171"/>
      <c r="J32" s="171"/>
      <c r="K32" s="171"/>
      <c r="L32" s="171"/>
      <c r="M32" s="171"/>
      <c r="N32" s="171"/>
      <c r="O32" s="171"/>
      <c r="P32" s="171"/>
      <c r="Q32" s="171"/>
      <c r="R32" s="172">
        <f>SUM(F32:Q32)</f>
        <v>0</v>
      </c>
      <c r="S32" s="171"/>
      <c r="T32" s="171"/>
      <c r="U32" s="173"/>
      <c r="V32" s="174"/>
    </row>
    <row r="33" spans="1:22" x14ac:dyDescent="0.2">
      <c r="A33" s="275"/>
      <c r="B33" s="279"/>
      <c r="C33" s="279"/>
      <c r="D33" s="17" t="s">
        <v>67</v>
      </c>
      <c r="E33" s="2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7"/>
      <c r="S33" s="116"/>
      <c r="T33" s="116"/>
      <c r="U33" s="118"/>
    </row>
    <row r="34" spans="1:22" x14ac:dyDescent="0.2">
      <c r="A34" s="275"/>
      <c r="B34" s="279"/>
      <c r="C34" s="279"/>
      <c r="D34" s="8" t="s">
        <v>89</v>
      </c>
      <c r="E34" s="23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3"/>
      <c r="S34" s="32"/>
      <c r="T34" s="32"/>
      <c r="U34" s="34"/>
    </row>
    <row r="35" spans="1:22" ht="30.6" x14ac:dyDescent="0.2">
      <c r="A35" s="275"/>
      <c r="B35" s="18" t="s">
        <v>77</v>
      </c>
      <c r="C35" s="18" t="s">
        <v>85</v>
      </c>
      <c r="D35" s="8" t="s">
        <v>106</v>
      </c>
      <c r="E35" s="23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3"/>
      <c r="S35" s="32"/>
      <c r="T35" s="32"/>
      <c r="U35" s="34"/>
    </row>
    <row r="36" spans="1:22" ht="10.8" thickBot="1" x14ac:dyDescent="0.25">
      <c r="A36" s="276"/>
      <c r="B36" s="20"/>
      <c r="C36" s="20"/>
      <c r="D36" s="19" t="s">
        <v>74</v>
      </c>
      <c r="E36" s="27">
        <f>E32*E34</f>
        <v>0</v>
      </c>
      <c r="F36" s="35">
        <f t="shared" ref="F36:Q36" si="34">F32*F34</f>
        <v>0</v>
      </c>
      <c r="G36" s="35">
        <f t="shared" si="34"/>
        <v>0</v>
      </c>
      <c r="H36" s="35">
        <f t="shared" si="34"/>
        <v>0</v>
      </c>
      <c r="I36" s="35">
        <f t="shared" si="34"/>
        <v>0</v>
      </c>
      <c r="J36" s="35">
        <f t="shared" si="34"/>
        <v>0</v>
      </c>
      <c r="K36" s="35">
        <f t="shared" si="34"/>
        <v>0</v>
      </c>
      <c r="L36" s="35">
        <f t="shared" si="34"/>
        <v>0</v>
      </c>
      <c r="M36" s="35">
        <f t="shared" si="34"/>
        <v>0</v>
      </c>
      <c r="N36" s="35">
        <f t="shared" si="34"/>
        <v>0</v>
      </c>
      <c r="O36" s="35">
        <f t="shared" si="34"/>
        <v>0</v>
      </c>
      <c r="P36" s="35">
        <f t="shared" si="34"/>
        <v>0</v>
      </c>
      <c r="Q36" s="35">
        <f t="shared" si="34"/>
        <v>0</v>
      </c>
      <c r="R36" s="35">
        <f>SUM(F36:Q36)</f>
        <v>0</v>
      </c>
      <c r="S36" s="35">
        <f>S32*S34</f>
        <v>0</v>
      </c>
      <c r="T36" s="35">
        <f>T32*T34</f>
        <v>0</v>
      </c>
      <c r="U36" s="36">
        <f>U32*U34</f>
        <v>0</v>
      </c>
    </row>
    <row r="37" spans="1:22" ht="10.8" thickTop="1" x14ac:dyDescent="0.2">
      <c r="A37" s="274">
        <v>6</v>
      </c>
      <c r="B37" s="277"/>
      <c r="C37" s="278"/>
      <c r="D37" s="16" t="s">
        <v>186</v>
      </c>
      <c r="E37" s="25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9">
        <f>SUM(F37:Q37)</f>
        <v>0</v>
      </c>
      <c r="S37" s="168"/>
      <c r="T37" s="168"/>
      <c r="U37" s="170"/>
    </row>
    <row r="38" spans="1:22" x14ac:dyDescent="0.2">
      <c r="A38" s="275"/>
      <c r="B38" s="279"/>
      <c r="C38" s="279"/>
      <c r="D38" s="17" t="s">
        <v>67</v>
      </c>
      <c r="E38" s="2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7"/>
      <c r="S38" s="116"/>
      <c r="T38" s="116"/>
      <c r="U38" s="118"/>
    </row>
    <row r="39" spans="1:22" x14ac:dyDescent="0.2">
      <c r="A39" s="275"/>
      <c r="B39" s="279"/>
      <c r="C39" s="279"/>
      <c r="D39" s="8" t="s">
        <v>89</v>
      </c>
      <c r="E39" s="23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3"/>
      <c r="S39" s="32"/>
      <c r="T39" s="32"/>
      <c r="U39" s="34"/>
    </row>
    <row r="40" spans="1:22" ht="30.6" x14ac:dyDescent="0.2">
      <c r="A40" s="275"/>
      <c r="B40" s="18" t="s">
        <v>77</v>
      </c>
      <c r="C40" s="18" t="s">
        <v>85</v>
      </c>
      <c r="D40" s="8" t="s">
        <v>107</v>
      </c>
      <c r="E40" s="23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  <c r="S40" s="32"/>
      <c r="T40" s="32"/>
      <c r="U40" s="34"/>
    </row>
    <row r="41" spans="1:22" ht="10.8" thickBot="1" x14ac:dyDescent="0.25">
      <c r="A41" s="276"/>
      <c r="B41" s="21"/>
      <c r="C41" s="21"/>
      <c r="D41" s="19" t="s">
        <v>78</v>
      </c>
      <c r="E41" s="27">
        <f>E37*E39</f>
        <v>0</v>
      </c>
      <c r="F41" s="35">
        <f t="shared" ref="F41:Q41" si="35">F37*F39</f>
        <v>0</v>
      </c>
      <c r="G41" s="35">
        <f t="shared" si="35"/>
        <v>0</v>
      </c>
      <c r="H41" s="35">
        <f t="shared" si="35"/>
        <v>0</v>
      </c>
      <c r="I41" s="35">
        <f t="shared" si="35"/>
        <v>0</v>
      </c>
      <c r="J41" s="35">
        <f t="shared" si="35"/>
        <v>0</v>
      </c>
      <c r="K41" s="35">
        <f t="shared" si="35"/>
        <v>0</v>
      </c>
      <c r="L41" s="35">
        <f t="shared" si="35"/>
        <v>0</v>
      </c>
      <c r="M41" s="35">
        <f t="shared" si="35"/>
        <v>0</v>
      </c>
      <c r="N41" s="35">
        <f t="shared" si="35"/>
        <v>0</v>
      </c>
      <c r="O41" s="35">
        <f t="shared" si="35"/>
        <v>0</v>
      </c>
      <c r="P41" s="35">
        <f t="shared" si="35"/>
        <v>0</v>
      </c>
      <c r="Q41" s="35">
        <f t="shared" si="35"/>
        <v>0</v>
      </c>
      <c r="R41" s="35">
        <f>SUM(F41:Q41)</f>
        <v>0</v>
      </c>
      <c r="S41" s="35">
        <f>S37*S39</f>
        <v>0</v>
      </c>
      <c r="T41" s="35">
        <f>T37*T39</f>
        <v>0</v>
      </c>
      <c r="U41" s="36">
        <f>U37*U39</f>
        <v>0</v>
      </c>
    </row>
    <row r="42" spans="1:22" ht="10.8" thickTop="1" x14ac:dyDescent="0.2">
      <c r="A42" s="274">
        <v>7</v>
      </c>
      <c r="B42" s="277"/>
      <c r="C42" s="278"/>
      <c r="D42" s="16" t="s">
        <v>186</v>
      </c>
      <c r="E42" s="25"/>
      <c r="F42" s="171"/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2">
        <f>SUM(F42:Q42)</f>
        <v>0</v>
      </c>
      <c r="S42" s="171"/>
      <c r="T42" s="171"/>
      <c r="U42" s="173"/>
      <c r="V42" s="174"/>
    </row>
    <row r="43" spans="1:22" x14ac:dyDescent="0.2">
      <c r="A43" s="275"/>
      <c r="B43" s="279"/>
      <c r="C43" s="279"/>
      <c r="D43" s="17" t="s">
        <v>67</v>
      </c>
      <c r="E43" s="2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7"/>
      <c r="S43" s="116"/>
      <c r="T43" s="116"/>
      <c r="U43" s="118"/>
    </row>
    <row r="44" spans="1:22" x14ac:dyDescent="0.2">
      <c r="A44" s="275"/>
      <c r="B44" s="279"/>
      <c r="C44" s="279"/>
      <c r="D44" s="8" t="s">
        <v>89</v>
      </c>
      <c r="E44" s="23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3"/>
      <c r="S44" s="32"/>
      <c r="T44" s="32"/>
      <c r="U44" s="34"/>
    </row>
    <row r="45" spans="1:22" ht="30.6" x14ac:dyDescent="0.2">
      <c r="A45" s="275"/>
      <c r="B45" s="18" t="s">
        <v>77</v>
      </c>
      <c r="C45" s="18" t="s">
        <v>85</v>
      </c>
      <c r="D45" s="8" t="s">
        <v>106</v>
      </c>
      <c r="E45" s="23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3"/>
      <c r="S45" s="32"/>
      <c r="T45" s="32"/>
      <c r="U45" s="34"/>
    </row>
    <row r="46" spans="1:22" ht="10.8" thickBot="1" x14ac:dyDescent="0.25">
      <c r="A46" s="276"/>
      <c r="B46" s="20"/>
      <c r="C46" s="20"/>
      <c r="D46" s="19" t="s">
        <v>79</v>
      </c>
      <c r="E46" s="27">
        <f>E42*E44</f>
        <v>0</v>
      </c>
      <c r="F46" s="35">
        <f t="shared" ref="F46:Q46" si="36">F42*F44</f>
        <v>0</v>
      </c>
      <c r="G46" s="35">
        <f t="shared" si="36"/>
        <v>0</v>
      </c>
      <c r="H46" s="35">
        <f t="shared" si="36"/>
        <v>0</v>
      </c>
      <c r="I46" s="35">
        <f t="shared" si="36"/>
        <v>0</v>
      </c>
      <c r="J46" s="35">
        <f t="shared" si="36"/>
        <v>0</v>
      </c>
      <c r="K46" s="35">
        <f t="shared" si="36"/>
        <v>0</v>
      </c>
      <c r="L46" s="35">
        <f t="shared" si="36"/>
        <v>0</v>
      </c>
      <c r="M46" s="35">
        <f t="shared" si="36"/>
        <v>0</v>
      </c>
      <c r="N46" s="35">
        <f t="shared" si="36"/>
        <v>0</v>
      </c>
      <c r="O46" s="35">
        <f t="shared" si="36"/>
        <v>0</v>
      </c>
      <c r="P46" s="35">
        <f t="shared" si="36"/>
        <v>0</v>
      </c>
      <c r="Q46" s="35">
        <f t="shared" si="36"/>
        <v>0</v>
      </c>
      <c r="R46" s="35">
        <f>SUM(F46:Q46)</f>
        <v>0</v>
      </c>
      <c r="S46" s="35">
        <f>S42*S44</f>
        <v>0</v>
      </c>
      <c r="T46" s="35">
        <f>T42*T44</f>
        <v>0</v>
      </c>
      <c r="U46" s="36">
        <f>U42*U44</f>
        <v>0</v>
      </c>
    </row>
    <row r="47" spans="1:22" ht="10.8" thickTop="1" x14ac:dyDescent="0.2">
      <c r="A47" s="274">
        <v>8</v>
      </c>
      <c r="B47" s="277"/>
      <c r="C47" s="278"/>
      <c r="D47" s="16" t="s">
        <v>186</v>
      </c>
      <c r="E47" s="25"/>
      <c r="F47" s="168"/>
      <c r="G47" s="168"/>
      <c r="H47" s="168"/>
      <c r="I47" s="168"/>
      <c r="J47" s="168"/>
      <c r="K47" s="168"/>
      <c r="L47" s="168"/>
      <c r="M47" s="168"/>
      <c r="N47" s="168"/>
      <c r="O47" s="168"/>
      <c r="P47" s="168"/>
      <c r="Q47" s="168"/>
      <c r="R47" s="169">
        <f>SUM(F47:Q47)</f>
        <v>0</v>
      </c>
      <c r="S47" s="168"/>
      <c r="T47" s="168"/>
      <c r="U47" s="170"/>
    </row>
    <row r="48" spans="1:22" x14ac:dyDescent="0.2">
      <c r="A48" s="275"/>
      <c r="B48" s="279"/>
      <c r="C48" s="279"/>
      <c r="D48" s="17" t="s">
        <v>67</v>
      </c>
      <c r="E48" s="2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7"/>
      <c r="S48" s="116"/>
      <c r="T48" s="116"/>
      <c r="U48" s="118"/>
    </row>
    <row r="49" spans="1:21" x14ac:dyDescent="0.2">
      <c r="A49" s="275"/>
      <c r="B49" s="279"/>
      <c r="C49" s="279"/>
      <c r="D49" s="8" t="s">
        <v>89</v>
      </c>
      <c r="E49" s="23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3"/>
      <c r="S49" s="32"/>
      <c r="T49" s="32"/>
      <c r="U49" s="34"/>
    </row>
    <row r="50" spans="1:21" ht="30.6" x14ac:dyDescent="0.2">
      <c r="A50" s="275"/>
      <c r="B50" s="18" t="s">
        <v>77</v>
      </c>
      <c r="C50" s="18" t="s">
        <v>85</v>
      </c>
      <c r="D50" s="8" t="s">
        <v>106</v>
      </c>
      <c r="E50" s="23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3"/>
      <c r="S50" s="32"/>
      <c r="T50" s="32"/>
      <c r="U50" s="34"/>
    </row>
    <row r="51" spans="1:21" ht="10.8" thickBot="1" x14ac:dyDescent="0.25">
      <c r="A51" s="276"/>
      <c r="B51" s="20"/>
      <c r="C51" s="20"/>
      <c r="D51" s="19" t="s">
        <v>80</v>
      </c>
      <c r="E51" s="27">
        <f>E47*E49</f>
        <v>0</v>
      </c>
      <c r="F51" s="35">
        <f t="shared" ref="F51:Q51" si="37">F47*F49</f>
        <v>0</v>
      </c>
      <c r="G51" s="35">
        <f t="shared" si="37"/>
        <v>0</v>
      </c>
      <c r="H51" s="35">
        <f t="shared" si="37"/>
        <v>0</v>
      </c>
      <c r="I51" s="35">
        <f t="shared" si="37"/>
        <v>0</v>
      </c>
      <c r="J51" s="35">
        <f t="shared" si="37"/>
        <v>0</v>
      </c>
      <c r="K51" s="35">
        <f t="shared" si="37"/>
        <v>0</v>
      </c>
      <c r="L51" s="35">
        <f t="shared" si="37"/>
        <v>0</v>
      </c>
      <c r="M51" s="35">
        <f t="shared" si="37"/>
        <v>0</v>
      </c>
      <c r="N51" s="35">
        <f t="shared" si="37"/>
        <v>0</v>
      </c>
      <c r="O51" s="35">
        <f t="shared" si="37"/>
        <v>0</v>
      </c>
      <c r="P51" s="35">
        <f t="shared" si="37"/>
        <v>0</v>
      </c>
      <c r="Q51" s="35">
        <f t="shared" si="37"/>
        <v>0</v>
      </c>
      <c r="R51" s="35">
        <f>SUM(F51:Q51)</f>
        <v>0</v>
      </c>
      <c r="S51" s="35">
        <f>S47*S49</f>
        <v>0</v>
      </c>
      <c r="T51" s="35">
        <f>T47*T49</f>
        <v>0</v>
      </c>
      <c r="U51" s="36">
        <f>U47*U49</f>
        <v>0</v>
      </c>
    </row>
    <row r="52" spans="1:21" ht="10.8" thickTop="1" x14ac:dyDescent="0.2">
      <c r="A52" s="274">
        <v>9</v>
      </c>
      <c r="B52" s="277"/>
      <c r="C52" s="278"/>
      <c r="D52" s="16" t="s">
        <v>186</v>
      </c>
      <c r="E52" s="25"/>
      <c r="F52" s="168"/>
      <c r="G52" s="168"/>
      <c r="H52" s="168"/>
      <c r="I52" s="168"/>
      <c r="J52" s="168"/>
      <c r="K52" s="168"/>
      <c r="L52" s="168"/>
      <c r="M52" s="168"/>
      <c r="N52" s="168"/>
      <c r="O52" s="168"/>
      <c r="P52" s="168"/>
      <c r="Q52" s="168"/>
      <c r="R52" s="169">
        <f>SUM(F52:Q52)</f>
        <v>0</v>
      </c>
      <c r="S52" s="168"/>
      <c r="T52" s="168"/>
      <c r="U52" s="170"/>
    </row>
    <row r="53" spans="1:21" x14ac:dyDescent="0.2">
      <c r="A53" s="275"/>
      <c r="B53" s="279"/>
      <c r="C53" s="279"/>
      <c r="D53" s="17" t="s">
        <v>67</v>
      </c>
      <c r="E53" s="26"/>
      <c r="F53" s="116"/>
      <c r="G53" s="116"/>
      <c r="H53" s="116"/>
      <c r="I53" s="116"/>
      <c r="J53" s="116"/>
      <c r="K53" s="116"/>
      <c r="L53" s="116"/>
      <c r="M53" s="116"/>
      <c r="N53" s="116"/>
      <c r="O53" s="116"/>
      <c r="P53" s="116"/>
      <c r="Q53" s="116"/>
      <c r="R53" s="117"/>
      <c r="S53" s="116"/>
      <c r="T53" s="116"/>
      <c r="U53" s="118"/>
    </row>
    <row r="54" spans="1:21" x14ac:dyDescent="0.2">
      <c r="A54" s="275"/>
      <c r="B54" s="279"/>
      <c r="C54" s="279"/>
      <c r="D54" s="8" t="s">
        <v>89</v>
      </c>
      <c r="E54" s="23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3"/>
      <c r="S54" s="32"/>
      <c r="T54" s="32"/>
      <c r="U54" s="34"/>
    </row>
    <row r="55" spans="1:21" ht="30.6" x14ac:dyDescent="0.2">
      <c r="A55" s="275"/>
      <c r="B55" s="18" t="s">
        <v>77</v>
      </c>
      <c r="C55" s="18" t="s">
        <v>85</v>
      </c>
      <c r="D55" s="8" t="s">
        <v>106</v>
      </c>
      <c r="E55" s="23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3"/>
      <c r="S55" s="32"/>
      <c r="T55" s="32"/>
      <c r="U55" s="34"/>
    </row>
    <row r="56" spans="1:21" ht="10.8" thickBot="1" x14ac:dyDescent="0.25">
      <c r="A56" s="276"/>
      <c r="B56" s="20"/>
      <c r="C56" s="20"/>
      <c r="D56" s="19" t="s">
        <v>81</v>
      </c>
      <c r="E56" s="27">
        <f>E52*E54</f>
        <v>0</v>
      </c>
      <c r="F56" s="35">
        <f t="shared" ref="F56:Q56" si="38">F52*F54</f>
        <v>0</v>
      </c>
      <c r="G56" s="35">
        <f t="shared" si="38"/>
        <v>0</v>
      </c>
      <c r="H56" s="35">
        <f t="shared" si="38"/>
        <v>0</v>
      </c>
      <c r="I56" s="35">
        <f t="shared" si="38"/>
        <v>0</v>
      </c>
      <c r="J56" s="35">
        <f t="shared" si="38"/>
        <v>0</v>
      </c>
      <c r="K56" s="35">
        <f t="shared" si="38"/>
        <v>0</v>
      </c>
      <c r="L56" s="35">
        <f t="shared" si="38"/>
        <v>0</v>
      </c>
      <c r="M56" s="35">
        <f t="shared" si="38"/>
        <v>0</v>
      </c>
      <c r="N56" s="35">
        <f t="shared" si="38"/>
        <v>0</v>
      </c>
      <c r="O56" s="35">
        <f t="shared" si="38"/>
        <v>0</v>
      </c>
      <c r="P56" s="35">
        <f t="shared" si="38"/>
        <v>0</v>
      </c>
      <c r="Q56" s="35">
        <f t="shared" si="38"/>
        <v>0</v>
      </c>
      <c r="R56" s="35">
        <f>SUM(F56:Q56)</f>
        <v>0</v>
      </c>
      <c r="S56" s="35">
        <f>S52*S54</f>
        <v>0</v>
      </c>
      <c r="T56" s="35">
        <f>T52*T54</f>
        <v>0</v>
      </c>
      <c r="U56" s="36">
        <f>U52*U54</f>
        <v>0</v>
      </c>
    </row>
    <row r="57" spans="1:21" ht="10.8" thickTop="1" x14ac:dyDescent="0.2">
      <c r="A57" s="274">
        <v>10</v>
      </c>
      <c r="B57" s="277"/>
      <c r="C57" s="278"/>
      <c r="D57" s="16" t="s">
        <v>186</v>
      </c>
      <c r="E57" s="25"/>
      <c r="F57" s="171"/>
      <c r="G57" s="171"/>
      <c r="H57" s="171"/>
      <c r="I57" s="171"/>
      <c r="J57" s="168"/>
      <c r="K57" s="168"/>
      <c r="L57" s="168"/>
      <c r="M57" s="168"/>
      <c r="N57" s="168"/>
      <c r="O57" s="168"/>
      <c r="P57" s="168"/>
      <c r="Q57" s="168"/>
      <c r="R57" s="169">
        <f>SUM(F57:Q57)</f>
        <v>0</v>
      </c>
      <c r="S57" s="168"/>
      <c r="T57" s="168"/>
      <c r="U57" s="170"/>
    </row>
    <row r="58" spans="1:21" x14ac:dyDescent="0.2">
      <c r="A58" s="275"/>
      <c r="B58" s="279"/>
      <c r="C58" s="279"/>
      <c r="D58" s="17" t="s">
        <v>67</v>
      </c>
      <c r="E58" s="26"/>
      <c r="F58" s="116"/>
      <c r="G58" s="116"/>
      <c r="H58" s="116"/>
      <c r="I58" s="116"/>
      <c r="J58" s="116"/>
      <c r="K58" s="116"/>
      <c r="L58" s="116"/>
      <c r="M58" s="116"/>
      <c r="N58" s="116"/>
      <c r="O58" s="116"/>
      <c r="P58" s="116"/>
      <c r="Q58" s="116"/>
      <c r="R58" s="117"/>
      <c r="S58" s="116"/>
      <c r="T58" s="116"/>
      <c r="U58" s="118"/>
    </row>
    <row r="59" spans="1:21" x14ac:dyDescent="0.2">
      <c r="A59" s="275"/>
      <c r="B59" s="279"/>
      <c r="C59" s="279"/>
      <c r="D59" s="8" t="s">
        <v>89</v>
      </c>
      <c r="E59" s="23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3"/>
      <c r="S59" s="32"/>
      <c r="T59" s="32"/>
      <c r="U59" s="34"/>
    </row>
    <row r="60" spans="1:21" ht="30.6" x14ac:dyDescent="0.2">
      <c r="A60" s="275"/>
      <c r="B60" s="18" t="s">
        <v>77</v>
      </c>
      <c r="C60" s="18" t="s">
        <v>85</v>
      </c>
      <c r="D60" s="8" t="s">
        <v>106</v>
      </c>
      <c r="E60" s="23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3"/>
      <c r="S60" s="32"/>
      <c r="T60" s="32"/>
      <c r="U60" s="34"/>
    </row>
    <row r="61" spans="1:21" ht="10.8" thickBot="1" x14ac:dyDescent="0.25">
      <c r="A61" s="276"/>
      <c r="B61" s="20"/>
      <c r="C61" s="20"/>
      <c r="D61" s="19" t="s">
        <v>82</v>
      </c>
      <c r="E61" s="27">
        <f>E57*E59</f>
        <v>0</v>
      </c>
      <c r="F61" s="35">
        <f t="shared" ref="F61:Q61" si="39">F57*F59</f>
        <v>0</v>
      </c>
      <c r="G61" s="35">
        <f t="shared" si="39"/>
        <v>0</v>
      </c>
      <c r="H61" s="35">
        <f t="shared" si="39"/>
        <v>0</v>
      </c>
      <c r="I61" s="35">
        <f t="shared" si="39"/>
        <v>0</v>
      </c>
      <c r="J61" s="35">
        <f t="shared" si="39"/>
        <v>0</v>
      </c>
      <c r="K61" s="35">
        <f t="shared" si="39"/>
        <v>0</v>
      </c>
      <c r="L61" s="35">
        <f t="shared" si="39"/>
        <v>0</v>
      </c>
      <c r="M61" s="35">
        <f t="shared" si="39"/>
        <v>0</v>
      </c>
      <c r="N61" s="35">
        <f t="shared" si="39"/>
        <v>0</v>
      </c>
      <c r="O61" s="35">
        <f t="shared" si="39"/>
        <v>0</v>
      </c>
      <c r="P61" s="35">
        <f t="shared" si="39"/>
        <v>0</v>
      </c>
      <c r="Q61" s="35">
        <f t="shared" si="39"/>
        <v>0</v>
      </c>
      <c r="R61" s="35">
        <f>SUM(F61:Q61)</f>
        <v>0</v>
      </c>
      <c r="S61" s="35">
        <f>S57*S59</f>
        <v>0</v>
      </c>
      <c r="T61" s="35">
        <f>T57*T59</f>
        <v>0</v>
      </c>
      <c r="U61" s="36">
        <f>U57*U59</f>
        <v>0</v>
      </c>
    </row>
    <row r="62" spans="1:21" ht="10.8" thickTop="1" x14ac:dyDescent="0.2"/>
  </sheetData>
  <sheetProtection algorithmName="SHA-512" hashValue="ni15IfMAE5iXawcGxIL+KA2gE5viwV49FExpZEyCh4Vac5J28FF2mXFRh65TtrxiMsWD/cEXv+htUbsIqKjjFw==" saltValue="ozg/ApzOKLqTMYHDSQ7MAA==" spinCount="100000" sheet="1" objects="1" scenarios="1"/>
  <mergeCells count="21">
    <mergeCell ref="B1:D1"/>
    <mergeCell ref="B22:C24"/>
    <mergeCell ref="A17:A21"/>
    <mergeCell ref="A22:A26"/>
    <mergeCell ref="B12:C14"/>
    <mergeCell ref="B17:C19"/>
    <mergeCell ref="A12:A16"/>
    <mergeCell ref="B27:C29"/>
    <mergeCell ref="A32:A36"/>
    <mergeCell ref="B32:C34"/>
    <mergeCell ref="A37:A41"/>
    <mergeCell ref="B37:C39"/>
    <mergeCell ref="A27:A31"/>
    <mergeCell ref="A57:A61"/>
    <mergeCell ref="B57:C59"/>
    <mergeCell ref="A42:A46"/>
    <mergeCell ref="B42:C44"/>
    <mergeCell ref="A47:A51"/>
    <mergeCell ref="B47:C49"/>
    <mergeCell ref="A52:A56"/>
    <mergeCell ref="B52:C54"/>
  </mergeCells>
  <phoneticPr fontId="2" type="noConversion"/>
  <pageMargins left="0.39370078740157483" right="0.19685039370078741" top="0.70866141732283472" bottom="0.51181102362204722" header="0" footer="0"/>
  <pageSetup paperSize="9" scale="52" orientation="landscape" r:id="rId1"/>
  <headerFooter alignWithMargins="0"/>
  <rowBreaks count="1" manualBreakCount="1">
    <brk id="41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eht3">
    <pageSetUpPr fitToPage="1"/>
  </sheetPr>
  <dimension ref="A1:R90"/>
  <sheetViews>
    <sheetView tabSelected="1" view="pageBreakPreview" zoomScaleNormal="100" zoomScaleSheetLayoutView="100" workbookViewId="0">
      <pane xSplit="1" ySplit="6" topLeftCell="B28" activePane="bottomRight" state="frozen"/>
      <selection pane="topRight"/>
      <selection pane="bottomLeft" activeCell="A7" sqref="A7"/>
      <selection pane="bottomRight" activeCell="B43" sqref="B43"/>
    </sheetView>
  </sheetViews>
  <sheetFormatPr defaultColWidth="9.109375" defaultRowHeight="10.199999999999999" x14ac:dyDescent="0.2"/>
  <cols>
    <col min="1" max="1" width="54.109375" style="38" customWidth="1"/>
    <col min="2" max="13" width="12.44140625" style="37" customWidth="1"/>
    <col min="14" max="14" width="12.6640625" style="37" customWidth="1"/>
    <col min="15" max="16" width="12.44140625" style="122" customWidth="1"/>
    <col min="17" max="17" width="9.109375" style="163" hidden="1" customWidth="1"/>
    <col min="18" max="18" width="7.6640625" style="38" customWidth="1"/>
    <col min="19" max="16384" width="9.109375" style="38"/>
  </cols>
  <sheetData>
    <row r="1" spans="1:17" s="132" customFormat="1" x14ac:dyDescent="0.2">
      <c r="A1" s="131" t="s">
        <v>123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22"/>
      <c r="O1" s="122"/>
      <c r="P1" s="122"/>
      <c r="Q1" s="122"/>
    </row>
    <row r="2" spans="1:17" x14ac:dyDescent="0.2">
      <c r="A2" s="39"/>
      <c r="B2" s="149">
        <f>'Alusta siit!'!C19</f>
        <v>45292</v>
      </c>
      <c r="C2" s="149">
        <f>EOMONTH(B2,1)</f>
        <v>45351</v>
      </c>
      <c r="D2" s="149">
        <f t="shared" ref="D2:M2" si="0">EOMONTH(C2,1)</f>
        <v>45382</v>
      </c>
      <c r="E2" s="149">
        <f t="shared" si="0"/>
        <v>45412</v>
      </c>
      <c r="F2" s="149">
        <f t="shared" si="0"/>
        <v>45443</v>
      </c>
      <c r="G2" s="149">
        <f t="shared" si="0"/>
        <v>45473</v>
      </c>
      <c r="H2" s="149">
        <f t="shared" si="0"/>
        <v>45504</v>
      </c>
      <c r="I2" s="149">
        <f t="shared" si="0"/>
        <v>45535</v>
      </c>
      <c r="J2" s="149">
        <f t="shared" si="0"/>
        <v>45565</v>
      </c>
      <c r="K2" s="149">
        <f t="shared" si="0"/>
        <v>45596</v>
      </c>
      <c r="L2" s="149">
        <f t="shared" si="0"/>
        <v>45626</v>
      </c>
      <c r="M2" s="149">
        <f t="shared" si="0"/>
        <v>45657</v>
      </c>
      <c r="N2" s="122" t="s">
        <v>27</v>
      </c>
      <c r="O2" s="122" t="s">
        <v>0</v>
      </c>
      <c r="P2" s="122" t="s">
        <v>1</v>
      </c>
      <c r="Q2" s="122" t="s">
        <v>68</v>
      </c>
    </row>
    <row r="3" spans="1:17" s="41" customFormat="1" x14ac:dyDescent="0.2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150"/>
      <c r="O3" s="150"/>
      <c r="P3" s="150"/>
      <c r="Q3" s="150"/>
    </row>
    <row r="4" spans="1:17" x14ac:dyDescent="0.2">
      <c r="A4" s="183" t="s">
        <v>2</v>
      </c>
      <c r="B4" s="42">
        <f>Bilanss!B6</f>
        <v>0</v>
      </c>
      <c r="C4" s="43">
        <f t="shared" ref="C4:M4" si="1">B72</f>
        <v>0</v>
      </c>
      <c r="D4" s="43">
        <f t="shared" si="1"/>
        <v>0</v>
      </c>
      <c r="E4" s="43">
        <f t="shared" si="1"/>
        <v>0</v>
      </c>
      <c r="F4" s="43">
        <f t="shared" si="1"/>
        <v>0</v>
      </c>
      <c r="G4" s="43">
        <f t="shared" si="1"/>
        <v>0</v>
      </c>
      <c r="H4" s="43">
        <f t="shared" si="1"/>
        <v>0</v>
      </c>
      <c r="I4" s="43">
        <f t="shared" si="1"/>
        <v>0</v>
      </c>
      <c r="J4" s="43">
        <f t="shared" si="1"/>
        <v>0</v>
      </c>
      <c r="K4" s="44">
        <f t="shared" si="1"/>
        <v>0</v>
      </c>
      <c r="L4" s="44">
        <f t="shared" si="1"/>
        <v>0</v>
      </c>
      <c r="M4" s="44">
        <f t="shared" si="1"/>
        <v>0</v>
      </c>
      <c r="N4" s="151">
        <f>B4</f>
        <v>0</v>
      </c>
      <c r="O4" s="151">
        <f>N72</f>
        <v>0</v>
      </c>
      <c r="P4" s="151">
        <f>O72</f>
        <v>0</v>
      </c>
      <c r="Q4" s="151">
        <f>P72</f>
        <v>0</v>
      </c>
    </row>
    <row r="5" spans="1:17" x14ac:dyDescent="0.2">
      <c r="A5" s="45"/>
      <c r="B5" s="46"/>
      <c r="C5" s="47"/>
      <c r="D5" s="47"/>
      <c r="E5" s="47"/>
      <c r="F5" s="47"/>
      <c r="G5" s="47"/>
      <c r="H5" s="47"/>
      <c r="I5" s="47"/>
      <c r="J5" s="47"/>
      <c r="N5" s="122"/>
      <c r="Q5" s="122"/>
    </row>
    <row r="6" spans="1:17" s="48" customFormat="1" x14ac:dyDescent="0.2">
      <c r="B6" s="49">
        <f>IF(B7&gt;0,1,0)</f>
        <v>0</v>
      </c>
      <c r="C6" s="49">
        <f t="shared" ref="C6:M6" si="2">IF(C7&gt;0,1,0)</f>
        <v>0</v>
      </c>
      <c r="D6" s="49">
        <f t="shared" si="2"/>
        <v>0</v>
      </c>
      <c r="E6" s="49">
        <f t="shared" si="2"/>
        <v>0</v>
      </c>
      <c r="F6" s="49">
        <f t="shared" si="2"/>
        <v>0</v>
      </c>
      <c r="G6" s="49">
        <f t="shared" si="2"/>
        <v>0</v>
      </c>
      <c r="H6" s="49">
        <f t="shared" si="2"/>
        <v>0</v>
      </c>
      <c r="I6" s="49">
        <f t="shared" si="2"/>
        <v>0</v>
      </c>
      <c r="J6" s="49">
        <f t="shared" si="2"/>
        <v>0</v>
      </c>
      <c r="K6" s="49">
        <f t="shared" si="2"/>
        <v>0</v>
      </c>
      <c r="L6" s="49">
        <f t="shared" si="2"/>
        <v>0</v>
      </c>
      <c r="M6" s="49">
        <f t="shared" si="2"/>
        <v>0</v>
      </c>
      <c r="N6" s="165">
        <f>SUM(B6:M6)</f>
        <v>0</v>
      </c>
      <c r="O6" s="152"/>
      <c r="P6" s="152"/>
      <c r="Q6" s="152"/>
    </row>
    <row r="7" spans="1:17" s="52" customFormat="1" x14ac:dyDescent="0.2">
      <c r="A7" s="50" t="s">
        <v>127</v>
      </c>
      <c r="B7" s="51">
        <f>Tooted!F3</f>
        <v>0</v>
      </c>
      <c r="C7" s="51">
        <f>Tooted!G3</f>
        <v>0</v>
      </c>
      <c r="D7" s="51">
        <f>Tooted!H3</f>
        <v>0</v>
      </c>
      <c r="E7" s="51">
        <f>Tooted!I3</f>
        <v>0</v>
      </c>
      <c r="F7" s="51">
        <f>Tooted!J3</f>
        <v>0</v>
      </c>
      <c r="G7" s="51">
        <f>Tooted!K3</f>
        <v>0</v>
      </c>
      <c r="H7" s="51">
        <f>Tooted!L3</f>
        <v>0</v>
      </c>
      <c r="I7" s="51">
        <f>Tooted!M3</f>
        <v>0</v>
      </c>
      <c r="J7" s="51">
        <f>Tooted!N3</f>
        <v>0</v>
      </c>
      <c r="K7" s="51">
        <f>Tooted!O3</f>
        <v>0</v>
      </c>
      <c r="L7" s="51">
        <f>Tooted!P3</f>
        <v>0</v>
      </c>
      <c r="M7" s="51">
        <f>Tooted!Q3</f>
        <v>0</v>
      </c>
      <c r="N7" s="153">
        <f>SUM(B7:M7)</f>
        <v>0</v>
      </c>
      <c r="O7" s="153">
        <f>Tooted!S3</f>
        <v>0</v>
      </c>
      <c r="P7" s="153">
        <f>Tooted!T3</f>
        <v>0</v>
      </c>
      <c r="Q7" s="153">
        <f>Tooted!U3</f>
        <v>0</v>
      </c>
    </row>
    <row r="8" spans="1:17" s="52" customFormat="1" x14ac:dyDescent="0.2">
      <c r="A8" s="53" t="s">
        <v>67</v>
      </c>
      <c r="B8" s="176">
        <f>IF(B9&gt;0,B9/B7,0)</f>
        <v>0</v>
      </c>
      <c r="C8" s="176">
        <f t="shared" ref="C8:M8" si="3">IF(C9&gt;0,C9/C7,0)</f>
        <v>0</v>
      </c>
      <c r="D8" s="176">
        <f t="shared" si="3"/>
        <v>0</v>
      </c>
      <c r="E8" s="176">
        <f t="shared" si="3"/>
        <v>0</v>
      </c>
      <c r="F8" s="176">
        <f t="shared" si="3"/>
        <v>0</v>
      </c>
      <c r="G8" s="176">
        <f t="shared" si="3"/>
        <v>0</v>
      </c>
      <c r="H8" s="176">
        <f t="shared" si="3"/>
        <v>0</v>
      </c>
      <c r="I8" s="176">
        <f t="shared" si="3"/>
        <v>0</v>
      </c>
      <c r="J8" s="176">
        <f t="shared" si="3"/>
        <v>0</v>
      </c>
      <c r="K8" s="176">
        <f t="shared" si="3"/>
        <v>0</v>
      </c>
      <c r="L8" s="176">
        <f t="shared" si="3"/>
        <v>0</v>
      </c>
      <c r="M8" s="176">
        <f t="shared" si="3"/>
        <v>0</v>
      </c>
      <c r="N8" s="176">
        <f>IF(N9&gt;0,N9/N7,0)</f>
        <v>0</v>
      </c>
      <c r="O8" s="176">
        <f>IF(O9&gt;0,O9/O7,0)</f>
        <v>0</v>
      </c>
      <c r="P8" s="176">
        <f>IF(P9&gt;0,P9/P7,0)</f>
        <v>0</v>
      </c>
      <c r="Q8" s="176">
        <f>IF(Q9&gt;0,Q9/Q7,0)</f>
        <v>0</v>
      </c>
    </row>
    <row r="9" spans="1:17" s="52" customFormat="1" x14ac:dyDescent="0.2">
      <c r="A9" s="53" t="s">
        <v>108</v>
      </c>
      <c r="B9" s="51">
        <f>Tooted!F10</f>
        <v>0</v>
      </c>
      <c r="C9" s="51">
        <f>Tooted!G10</f>
        <v>0</v>
      </c>
      <c r="D9" s="51">
        <f>Tooted!H10</f>
        <v>0</v>
      </c>
      <c r="E9" s="51">
        <f>Tooted!I10</f>
        <v>0</v>
      </c>
      <c r="F9" s="51">
        <f>Tooted!J10</f>
        <v>0</v>
      </c>
      <c r="G9" s="51">
        <f>Tooted!K10</f>
        <v>0</v>
      </c>
      <c r="H9" s="51">
        <f>Tooted!L10</f>
        <v>0</v>
      </c>
      <c r="I9" s="51">
        <f>Tooted!M10</f>
        <v>0</v>
      </c>
      <c r="J9" s="51">
        <f>Tooted!N10</f>
        <v>0</v>
      </c>
      <c r="K9" s="51">
        <f>Tooted!O10</f>
        <v>0</v>
      </c>
      <c r="L9" s="51">
        <f>Tooted!P10</f>
        <v>0</v>
      </c>
      <c r="M9" s="51">
        <f>Tooted!Q10</f>
        <v>0</v>
      </c>
      <c r="N9" s="153">
        <f>SUM(B9:M9)</f>
        <v>0</v>
      </c>
      <c r="O9" s="153">
        <f>Tooted!S10</f>
        <v>0</v>
      </c>
      <c r="P9" s="153">
        <f>Tooted!T10</f>
        <v>0</v>
      </c>
      <c r="Q9" s="153">
        <f>Tooted!U10</f>
        <v>0</v>
      </c>
    </row>
    <row r="10" spans="1:17" s="52" customFormat="1" x14ac:dyDescent="0.2">
      <c r="A10" s="54" t="s">
        <v>24</v>
      </c>
      <c r="B10" s="55">
        <f>Tooted!F2</f>
        <v>0</v>
      </c>
      <c r="C10" s="55">
        <f>Tooted!G2</f>
        <v>0</v>
      </c>
      <c r="D10" s="55">
        <f>Tooted!H2</f>
        <v>0</v>
      </c>
      <c r="E10" s="55">
        <f>Tooted!I2</f>
        <v>0</v>
      </c>
      <c r="F10" s="55">
        <f>Tooted!J2</f>
        <v>0</v>
      </c>
      <c r="G10" s="55">
        <f>Tooted!K2</f>
        <v>0</v>
      </c>
      <c r="H10" s="55">
        <f>Tooted!L2</f>
        <v>0</v>
      </c>
      <c r="I10" s="55">
        <f>Tooted!M2</f>
        <v>0</v>
      </c>
      <c r="J10" s="55">
        <f>Tooted!N2</f>
        <v>0</v>
      </c>
      <c r="K10" s="55">
        <f>Tooted!O2</f>
        <v>0</v>
      </c>
      <c r="L10" s="55">
        <f>Tooted!P2</f>
        <v>0</v>
      </c>
      <c r="M10" s="55">
        <f>Tooted!Q2</f>
        <v>0</v>
      </c>
      <c r="N10" s="154">
        <f>SUM(B10:M10)</f>
        <v>0</v>
      </c>
      <c r="O10" s="154">
        <f>Tooted!S2</f>
        <v>0</v>
      </c>
      <c r="P10" s="154">
        <f>Tooted!T2</f>
        <v>0</v>
      </c>
      <c r="Q10" s="154">
        <f>Tooted!U2</f>
        <v>0</v>
      </c>
    </row>
    <row r="11" spans="1:17" s="52" customFormat="1" x14ac:dyDescent="0.2">
      <c r="A11" s="54" t="s">
        <v>25</v>
      </c>
      <c r="B11" s="55">
        <f>Tooted!F4</f>
        <v>0</v>
      </c>
      <c r="C11" s="55">
        <f>Tooted!G4</f>
        <v>0</v>
      </c>
      <c r="D11" s="55">
        <f>Tooted!H4</f>
        <v>0</v>
      </c>
      <c r="E11" s="55">
        <f>Tooted!I4</f>
        <v>0</v>
      </c>
      <c r="F11" s="55">
        <f>Tooted!J4</f>
        <v>0</v>
      </c>
      <c r="G11" s="55">
        <f>Tooted!K4</f>
        <v>0</v>
      </c>
      <c r="H11" s="55">
        <f>Tooted!L4</f>
        <v>0</v>
      </c>
      <c r="I11" s="55">
        <f>Tooted!M4</f>
        <v>0</v>
      </c>
      <c r="J11" s="55">
        <f>Tooted!N4</f>
        <v>0</v>
      </c>
      <c r="K11" s="55">
        <f>Tooted!O4</f>
        <v>0</v>
      </c>
      <c r="L11" s="55">
        <f>Tooted!P4</f>
        <v>0</v>
      </c>
      <c r="M11" s="55">
        <f>Tooted!Q4</f>
        <v>0</v>
      </c>
      <c r="N11" s="154">
        <f>IF(N7&gt;0,N7/N10,0)</f>
        <v>0</v>
      </c>
      <c r="O11" s="154">
        <f>Tooted!S4</f>
        <v>0</v>
      </c>
      <c r="P11" s="154">
        <f>Tooted!T4</f>
        <v>0</v>
      </c>
      <c r="Q11" s="154">
        <f>Tooted!U4</f>
        <v>0</v>
      </c>
    </row>
    <row r="12" spans="1:17" s="58" customFormat="1" x14ac:dyDescent="0.2">
      <c r="A12" s="56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155"/>
      <c r="O12" s="155"/>
      <c r="P12" s="155"/>
      <c r="Q12" s="155"/>
    </row>
    <row r="13" spans="1:17" s="58" customFormat="1" x14ac:dyDescent="0.2">
      <c r="A13" s="59" t="s">
        <v>12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155"/>
      <c r="O13" s="155"/>
      <c r="P13" s="155"/>
      <c r="Q13" s="155"/>
    </row>
    <row r="14" spans="1:17" s="58" customFormat="1" x14ac:dyDescent="0.2">
      <c r="A14" s="50" t="s">
        <v>64</v>
      </c>
      <c r="B14" s="60">
        <f>B7-(B7*'Alusta siit!'!$C23/100)</f>
        <v>0</v>
      </c>
      <c r="C14" s="60">
        <f>IF(C7&gt;0,(C7-(C7*'Alusta siit!'!$C23/100)+(B7*'Alusta siit!'!$C23/100)),(B7*'Alusta siit!'!$C23/100))</f>
        <v>0</v>
      </c>
      <c r="D14" s="60">
        <f>IF(D7&gt;0,(D7-(D7*'Alusta siit!'!$C23/100)+(C7*'Alusta siit!'!$C23/100)),(C7*'Alusta siit!'!$C23/100))</f>
        <v>0</v>
      </c>
      <c r="E14" s="60">
        <f>IF(E7&gt;0,(E7-(E7*'Alusta siit!'!$C23/100)+(D7*'Alusta siit!'!$C23/100)),(D7*'Alusta siit!'!$C23/100))</f>
        <v>0</v>
      </c>
      <c r="F14" s="60">
        <f>IF(F7&gt;0,(F7-(F7*'Alusta siit!'!$C23/100)+(E7*'Alusta siit!'!$C23/100)),(E7*'Alusta siit!'!$C23/100))</f>
        <v>0</v>
      </c>
      <c r="G14" s="60">
        <f>IF(G7&gt;0,(G7-(G7*'Alusta siit!'!$C23/100)+(F7*'Alusta siit!'!$C23/100)),(F7*'Alusta siit!'!$C23/100))</f>
        <v>0</v>
      </c>
      <c r="H14" s="60">
        <f>IF(H7&gt;0,(H7-(H7*'Alusta siit!'!$C23/100)+(G7*'Alusta siit!'!$C23/100)),(G7*'Alusta siit!'!$C23/100))</f>
        <v>0</v>
      </c>
      <c r="I14" s="60">
        <f>IF(I7&gt;0,(I7-(I7*'Alusta siit!'!$C23/100)+(H7*'Alusta siit!'!$C23/100)),(H7*'Alusta siit!'!$C23/100))</f>
        <v>0</v>
      </c>
      <c r="J14" s="60">
        <f>IF(J7&gt;0,(J7-(J7*'Alusta siit!'!$C23/100)+(I7*'Alusta siit!'!$C23/100)),(I7*'Alusta siit!'!$C23/100))</f>
        <v>0</v>
      </c>
      <c r="K14" s="60">
        <f>IF(K7&gt;0,(K7-(K7*'Alusta siit!'!$C23/100)+(J7*'Alusta siit!'!$C23/100)),(J7*'Alusta siit!'!$C23/100))</f>
        <v>0</v>
      </c>
      <c r="L14" s="60">
        <f>IF(L7&gt;0,(L7-(L7*'Alusta siit!'!$C23/100)+(K7*'Alusta siit!'!$C23/100)),(K7*'Alusta siit!'!$C23/100))</f>
        <v>0</v>
      </c>
      <c r="M14" s="60">
        <f>IF(M7&gt;0,(M7-(M7*'Alusta siit!'!$C23/100)+(L7*'Alusta siit!'!$C23/100)),(L7*'Alusta siit!'!$C23/100))</f>
        <v>0</v>
      </c>
      <c r="N14" s="156">
        <f t="shared" ref="N14:N27" si="4">SUM(B14:M14)</f>
        <v>0</v>
      </c>
      <c r="O14" s="156">
        <f>(M7*'Alusta siit!'!$C23/100)+O7/12*11+((O7/12)*(1-'Alusta siit!'!$D23/100))</f>
        <v>0</v>
      </c>
      <c r="P14" s="156">
        <f>P7/12*11+(P7/12-((P7/12)*'Alusta siit!'!$D23/100)+((O7/12)*'Alusta siit!'!$E23/100))</f>
        <v>0</v>
      </c>
      <c r="Q14" s="156">
        <f>Q7/12*11+(Q7/12-((Q7/12)*'Alusta siit!'!$E23/100)+((P7/12)*'Alusta siit!'!$F23/100))</f>
        <v>0</v>
      </c>
    </row>
    <row r="15" spans="1:17" s="58" customFormat="1" x14ac:dyDescent="0.2">
      <c r="A15" s="61" t="s">
        <v>147</v>
      </c>
      <c r="B15" s="60">
        <f>IF('Alusta siit!'!$C22="jah",B14*B8,0)</f>
        <v>0</v>
      </c>
      <c r="C15" s="60">
        <f>IF('Alusta siit!'!$C22="jah",C14*C8,0)</f>
        <v>0</v>
      </c>
      <c r="D15" s="60">
        <f>IF('Alusta siit!'!$C22="jah",D14*D8,0)</f>
        <v>0</v>
      </c>
      <c r="E15" s="60">
        <f>IF('Alusta siit!'!$C22="jah",E14*E8,0)</f>
        <v>0</v>
      </c>
      <c r="F15" s="60">
        <f>IF('Alusta siit!'!$C22="jah",F14*F8,0)</f>
        <v>0</v>
      </c>
      <c r="G15" s="60">
        <f>IF('Alusta siit!'!$C22="jah",G14*G8,0)</f>
        <v>0</v>
      </c>
      <c r="H15" s="60">
        <f>IF('Alusta siit!'!$C22="jah",H14*H8,0)</f>
        <v>0</v>
      </c>
      <c r="I15" s="60">
        <f>IF('Alusta siit!'!$C22="jah",I14*I8,0)</f>
        <v>0</v>
      </c>
      <c r="J15" s="60">
        <f>IF('Alusta siit!'!$C22="jah",J14*J8,0)</f>
        <v>0</v>
      </c>
      <c r="K15" s="60">
        <f>IF('Alusta siit!'!$C22="jah",K14*K8,0)</f>
        <v>0</v>
      </c>
      <c r="L15" s="60">
        <f>IF('Alusta siit!'!$C22="jah",L14*L8,0)</f>
        <v>0</v>
      </c>
      <c r="M15" s="60">
        <f>IF('Alusta siit!'!$C22="jah",M14*M8,0)</f>
        <v>0</v>
      </c>
      <c r="N15" s="156">
        <f t="shared" si="4"/>
        <v>0</v>
      </c>
      <c r="O15" s="156">
        <f>IF('Alusta siit!'!D22="jah",O14*O8,0)</f>
        <v>0</v>
      </c>
      <c r="P15" s="156">
        <f>IF('Alusta siit!'!E22="jah",P14*P8,0)</f>
        <v>0</v>
      </c>
      <c r="Q15" s="156">
        <f>IF('Alusta siit!'!F22="jah",Q14*Q8,0)</f>
        <v>0</v>
      </c>
    </row>
    <row r="16" spans="1:17" s="58" customFormat="1" x14ac:dyDescent="0.2">
      <c r="A16" s="61" t="s">
        <v>149</v>
      </c>
      <c r="B16" s="60">
        <f>IF('Alusta siit!'!$C22="jah",Tooted!F9-Tooted!F9*'Alusta siit!'!$C23/100,0)</f>
        <v>0</v>
      </c>
      <c r="C16" s="60">
        <f>IF('Alusta siit!'!$C22="jah",Tooted!G9-Tooted!G9*'Alusta siit!'!$C23/100+Tooted!F9*'Alusta siit!'!$C23/100,0)</f>
        <v>0</v>
      </c>
      <c r="D16" s="60">
        <f>IF('Alusta siit!'!$C22="jah",Tooted!H9-Tooted!H9*'Alusta siit!'!$C23/100+Tooted!G9*'Alusta siit!'!$C23/100,0)</f>
        <v>0</v>
      </c>
      <c r="E16" s="60">
        <f>IF('Alusta siit!'!$C22="jah",Tooted!I9-Tooted!I9*'Alusta siit!'!$C23/100+Tooted!H9*'Alusta siit!'!$C23/100,0)</f>
        <v>0</v>
      </c>
      <c r="F16" s="60">
        <f>IF('Alusta siit!'!$C22="jah",Tooted!J9-Tooted!J9*'Alusta siit!'!$C23/100+Tooted!I9*'Alusta siit!'!$C23/100,0)</f>
        <v>0</v>
      </c>
      <c r="G16" s="60">
        <f>IF('Alusta siit!'!$C22="jah",Tooted!K9-Tooted!K9*'Alusta siit!'!$C23/100+Tooted!J9*'Alusta siit!'!$C23/100,0)</f>
        <v>0</v>
      </c>
      <c r="H16" s="60">
        <f>IF('Alusta siit!'!$C22="jah",Tooted!L9-Tooted!L9*'Alusta siit!'!$C23/100+Tooted!K9*'Alusta siit!'!$C23/100,0)</f>
        <v>0</v>
      </c>
      <c r="I16" s="60">
        <f>IF('Alusta siit!'!$C22="jah",Tooted!M9-Tooted!M9*'Alusta siit!'!$C23/100+Tooted!L9*'Alusta siit!'!$C23/100,0)</f>
        <v>0</v>
      </c>
      <c r="J16" s="60">
        <f>IF('Alusta siit!'!$C22="jah",Tooted!N9-Tooted!N9*'Alusta siit!'!$C23/100+Tooted!M9*'Alusta siit!'!$C23/100,0)</f>
        <v>0</v>
      </c>
      <c r="K16" s="60">
        <f>IF('Alusta siit!'!$C22="jah",Tooted!O9-Tooted!O9*'Alusta siit!'!$C23/100+Tooted!N9*'Alusta siit!'!$C23/100,0)</f>
        <v>0</v>
      </c>
      <c r="L16" s="60">
        <f>IF('Alusta siit!'!$C22="jah",Tooted!P9-Tooted!P9*'Alusta siit!'!$C23/100+Tooted!O9*'Alusta siit!'!$C23/100,0)</f>
        <v>0</v>
      </c>
      <c r="M16" s="60">
        <f>IF('Alusta siit!'!$C22="jah",Tooted!Q9-Tooted!Q9*'Alusta siit!'!$C23/100+Tooted!P9*'Alusta siit!'!$C23/100,0)</f>
        <v>0</v>
      </c>
      <c r="N16" s="156">
        <f t="shared" si="4"/>
        <v>0</v>
      </c>
      <c r="O16" s="156">
        <f>IF('Alusta siit!'!D22="jah",Tooted!S9-Tooted!S9*'Alusta siit!'!D23/100+Tooted!Q9*'Alusta siit!'!C23/100,0)</f>
        <v>0</v>
      </c>
      <c r="P16" s="156">
        <f>IF('Alusta siit!'!E22="jah",Tooted!T9-Tooted!T9*'Alusta siit!'!E23/100+Tooted!S9*'Alusta siit!'!D23/100,0)</f>
        <v>0</v>
      </c>
      <c r="Q16" s="156">
        <f>IF('Alusta siit!'!F22="jah",Tooted!U9-Tooted!U9*'Alusta siit!'!F23/100+Tooted!T9*'Alusta siit!'!E23/100,0)</f>
        <v>0</v>
      </c>
    </row>
    <row r="17" spans="1:17" s="58" customFormat="1" x14ac:dyDescent="0.2">
      <c r="A17" s="61" t="s">
        <v>148</v>
      </c>
      <c r="B17" s="60">
        <f>IF(AND('Alusta siit!'!$C22="jah",SUM(B15:B16)&gt;=0),B14-SUM(B15:B16),0)</f>
        <v>0</v>
      </c>
      <c r="C17" s="60">
        <f>IF(AND('Alusta siit!'!$C22="jah",SUM(C15:C16)&gt;=0),C14-SUM(C15:C16),0)</f>
        <v>0</v>
      </c>
      <c r="D17" s="60">
        <f>IF(AND('Alusta siit!'!$C22="jah",SUM(D15:D16)&gt;=0),D14-SUM(D15:D16),0)</f>
        <v>0</v>
      </c>
      <c r="E17" s="60">
        <f>IF(AND('Alusta siit!'!$C22="jah",SUM(E15:E16)&gt;=0),E14-SUM(E15:E16),0)</f>
        <v>0</v>
      </c>
      <c r="F17" s="60">
        <f>IF(AND('Alusta siit!'!$C22="jah",SUM(F15:F16)&gt;=0),F14-SUM(F15:F16),0)</f>
        <v>0</v>
      </c>
      <c r="G17" s="60">
        <f>IF(AND('Alusta siit!'!$C22="jah",SUM(G15:G16)&gt;=0),G14-SUM(G15:G16),0)</f>
        <v>0</v>
      </c>
      <c r="H17" s="60">
        <f>IF(AND('Alusta siit!'!$C22="jah",SUM(H15:H16)&gt;=0),H14-SUM(H15:H16),0)</f>
        <v>0</v>
      </c>
      <c r="I17" s="60">
        <f>IF(AND('Alusta siit!'!$C22="jah",SUM(I15:I16)&gt;=0),I14-SUM(I15:I16),0)</f>
        <v>0</v>
      </c>
      <c r="J17" s="60">
        <f>IF(AND('Alusta siit!'!$C22="jah",SUM(J15:J16)&gt;=0),J14-SUM(J15:J16),0)</f>
        <v>0</v>
      </c>
      <c r="K17" s="60">
        <f>IF(AND('Alusta siit!'!$C22="jah",SUM(K15:K16)&gt;=0),K14-SUM(K15:K16),0)</f>
        <v>0</v>
      </c>
      <c r="L17" s="60">
        <f>IF(AND('Alusta siit!'!$C22="jah",SUM(L15:L16)&gt;=0),L14-SUM(L15:L16),0)</f>
        <v>0</v>
      </c>
      <c r="M17" s="60">
        <f>IF(AND('Alusta siit!'!$C22="jah",SUM(M15:M16)&gt;=0),M14-SUM(M15:M16),0)</f>
        <v>0</v>
      </c>
      <c r="N17" s="156">
        <f t="shared" si="4"/>
        <v>0</v>
      </c>
      <c r="O17" s="156">
        <f>IF(AND('Alusta siit!'!D22="jah",SUM(O15:O16)&gt;=0),O14-SUM(O15:O16),0)</f>
        <v>0</v>
      </c>
      <c r="P17" s="156">
        <f>IF(AND('Alusta siit!'!E22="jah",SUM(P15:P16)&gt;=0),P14-SUM(P15:P16),0)</f>
        <v>0</v>
      </c>
      <c r="Q17" s="156">
        <f>IF(AND('Alusta siit!'!F22="jah",SUM(Q15:Q16)&gt;=0),Q14-SUM(Q15:Q16),0)</f>
        <v>0</v>
      </c>
    </row>
    <row r="18" spans="1:17" s="52" customFormat="1" x14ac:dyDescent="0.2">
      <c r="A18" s="50" t="s">
        <v>160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156">
        <f t="shared" si="4"/>
        <v>0</v>
      </c>
      <c r="O18" s="157"/>
      <c r="P18" s="157"/>
      <c r="Q18" s="157"/>
    </row>
    <row r="19" spans="1:17" s="52" customFormat="1" x14ac:dyDescent="0.2">
      <c r="A19" s="63" t="s">
        <v>5</v>
      </c>
      <c r="B19" s="60">
        <f>IF('Alusta siit!'!$C22="jah",ROUND(B17*0.2+B16*0.09,0),0)</f>
        <v>0</v>
      </c>
      <c r="C19" s="60">
        <f>IF('Alusta siit!'!$C22="jah",ROUND(C17*0.2+C16*0.09,0),0)</f>
        <v>0</v>
      </c>
      <c r="D19" s="60">
        <f>IF('Alusta siit!'!$C22="jah",ROUND(D17*0.2+D16*0.09,0),0)</f>
        <v>0</v>
      </c>
      <c r="E19" s="60">
        <f>IF('Alusta siit!'!$C22="jah",ROUND(E17*0.2+E16*0.09,0),0)</f>
        <v>0</v>
      </c>
      <c r="F19" s="60">
        <f>IF('Alusta siit!'!$C22="jah",ROUND(F17*0.2+F16*0.09,0),0)</f>
        <v>0</v>
      </c>
      <c r="G19" s="60">
        <f>IF('Alusta siit!'!$C22="jah",ROUND(G17*0.2+G16*0.09,0),0)</f>
        <v>0</v>
      </c>
      <c r="H19" s="60">
        <f>IF('Alusta siit!'!$C22="jah",ROUND(H17*0.2+H16*0.09,0),0)</f>
        <v>0</v>
      </c>
      <c r="I19" s="60">
        <f>IF('Alusta siit!'!$C22="jah",ROUND(I17*0.2+I16*0.09,0),0)</f>
        <v>0</v>
      </c>
      <c r="J19" s="60">
        <f>IF('Alusta siit!'!$C22="jah",ROUND(J17*0.2+J16*0.09,0),0)</f>
        <v>0</v>
      </c>
      <c r="K19" s="60">
        <f>IF('Alusta siit!'!$C22="jah",ROUND(K17*0.2+K16*0.09,0),0)</f>
        <v>0</v>
      </c>
      <c r="L19" s="60">
        <f>IF('Alusta siit!'!$C22="jah",ROUND(L17*0.2+L16*0.09,0),0)</f>
        <v>0</v>
      </c>
      <c r="M19" s="60">
        <f>IF('Alusta siit!'!$C22="jah",ROUND(M17*0.2+M16*0.09,0),0)</f>
        <v>0</v>
      </c>
      <c r="N19" s="156">
        <f t="shared" si="4"/>
        <v>0</v>
      </c>
      <c r="O19" s="156">
        <f>IF('Alusta siit!'!$D22="jah",ROUND(O17*0.2+O16*0.09,0),0)</f>
        <v>0</v>
      </c>
      <c r="P19" s="156">
        <f>IF('Alusta siit!'!$E22="jah",ROUND(P17*0.2+P16*0.09,0),0)</f>
        <v>0</v>
      </c>
      <c r="Q19" s="156">
        <f>IF('Alusta siit!'!$F22="jah",ROUND(Q17*0.2+Q16*0.09,0),0)</f>
        <v>0</v>
      </c>
    </row>
    <row r="20" spans="1:17" s="52" customFormat="1" x14ac:dyDescent="0.2">
      <c r="A20" s="50" t="s">
        <v>6</v>
      </c>
      <c r="B20" s="64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156">
        <f t="shared" si="4"/>
        <v>0</v>
      </c>
      <c r="O20" s="157"/>
      <c r="P20" s="157"/>
      <c r="Q20" s="157"/>
    </row>
    <row r="21" spans="1:17" s="52" customFormat="1" x14ac:dyDescent="0.2">
      <c r="A21" s="50" t="s">
        <v>178</v>
      </c>
      <c r="B21" s="64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156">
        <f t="shared" si="4"/>
        <v>0</v>
      </c>
      <c r="O21" s="157"/>
      <c r="P21" s="157"/>
      <c r="Q21" s="157"/>
    </row>
    <row r="22" spans="1:17" s="52" customFormat="1" x14ac:dyDescent="0.2">
      <c r="A22" s="50" t="s">
        <v>179</v>
      </c>
      <c r="B22" s="64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156">
        <f t="shared" si="4"/>
        <v>0</v>
      </c>
      <c r="O22" s="157"/>
      <c r="P22" s="157"/>
      <c r="Q22" s="157"/>
    </row>
    <row r="23" spans="1:17" s="52" customFormat="1" ht="20.399999999999999" x14ac:dyDescent="0.2">
      <c r="A23" s="65" t="s">
        <v>131</v>
      </c>
      <c r="B23" s="64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156">
        <f t="shared" si="4"/>
        <v>0</v>
      </c>
      <c r="O23" s="157"/>
      <c r="P23" s="157"/>
      <c r="Q23" s="157"/>
    </row>
    <row r="24" spans="1:17" s="52" customFormat="1" x14ac:dyDescent="0.2">
      <c r="A24" s="65" t="s">
        <v>132</v>
      </c>
      <c r="B24" s="64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156">
        <f t="shared" si="4"/>
        <v>0</v>
      </c>
      <c r="O24" s="157"/>
      <c r="P24" s="157"/>
      <c r="Q24" s="157"/>
    </row>
    <row r="25" spans="1:17" s="52" customFormat="1" x14ac:dyDescent="0.2">
      <c r="A25" s="50" t="s">
        <v>130</v>
      </c>
      <c r="B25" s="64"/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156">
        <f t="shared" si="4"/>
        <v>0</v>
      </c>
      <c r="O25" s="157"/>
      <c r="P25" s="157"/>
      <c r="Q25" s="157"/>
    </row>
    <row r="26" spans="1:17" s="179" customFormat="1" x14ac:dyDescent="0.2">
      <c r="A26" s="231" t="s">
        <v>155</v>
      </c>
      <c r="B26" s="64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177">
        <f>SUM(B26:M26)</f>
        <v>0</v>
      </c>
      <c r="O26" s="178"/>
      <c r="P26" s="178"/>
      <c r="Q26" s="178"/>
    </row>
    <row r="27" spans="1:17" s="52" customFormat="1" x14ac:dyDescent="0.2">
      <c r="A27" s="232" t="s">
        <v>129</v>
      </c>
      <c r="B27" s="64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156">
        <f t="shared" si="4"/>
        <v>0</v>
      </c>
      <c r="O27" s="157"/>
      <c r="P27" s="157"/>
      <c r="Q27" s="157"/>
    </row>
    <row r="28" spans="1:17" s="66" customFormat="1" x14ac:dyDescent="0.2">
      <c r="A28" s="85" t="s">
        <v>7</v>
      </c>
      <c r="B28" s="60">
        <f t="shared" ref="B28:M28" si="5">B14+SUM(B18:B27)</f>
        <v>0</v>
      </c>
      <c r="C28" s="60">
        <f t="shared" si="5"/>
        <v>0</v>
      </c>
      <c r="D28" s="60">
        <f t="shared" si="5"/>
        <v>0</v>
      </c>
      <c r="E28" s="60">
        <f t="shared" si="5"/>
        <v>0</v>
      </c>
      <c r="F28" s="60">
        <f t="shared" si="5"/>
        <v>0</v>
      </c>
      <c r="G28" s="60">
        <f t="shared" si="5"/>
        <v>0</v>
      </c>
      <c r="H28" s="60">
        <f t="shared" si="5"/>
        <v>0</v>
      </c>
      <c r="I28" s="60">
        <f t="shared" si="5"/>
        <v>0</v>
      </c>
      <c r="J28" s="60">
        <f t="shared" si="5"/>
        <v>0</v>
      </c>
      <c r="K28" s="60">
        <f t="shared" si="5"/>
        <v>0</v>
      </c>
      <c r="L28" s="60">
        <f t="shared" si="5"/>
        <v>0</v>
      </c>
      <c r="M28" s="60">
        <f t="shared" si="5"/>
        <v>0</v>
      </c>
      <c r="N28" s="156">
        <f>IF((SUM(N14:N27)-SUM(N15:N17))=SUM(B28:M28),SUM(B28:M28),"viga")</f>
        <v>0</v>
      </c>
      <c r="O28" s="156">
        <f>SUM(O14:O27)-SUM(O15:O17)</f>
        <v>0</v>
      </c>
      <c r="P28" s="156">
        <f>SUM(P14:P27)-SUM(P15:P17)</f>
        <v>0</v>
      </c>
      <c r="Q28" s="156">
        <f>SUM(Q14:Q27)-SUM(Q15:Q17)</f>
        <v>0</v>
      </c>
    </row>
    <row r="29" spans="1:17" s="45" customFormat="1" x14ac:dyDescent="0.2">
      <c r="A29" s="67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119"/>
      <c r="O29" s="119"/>
      <c r="P29" s="119"/>
      <c r="Q29" s="119"/>
    </row>
    <row r="30" spans="1:17" x14ac:dyDescent="0.2">
      <c r="A30" s="59" t="s">
        <v>13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120"/>
      <c r="O30" s="120"/>
      <c r="P30" s="120"/>
      <c r="Q30" s="120"/>
    </row>
    <row r="31" spans="1:17" x14ac:dyDescent="0.2">
      <c r="A31" s="69" t="s">
        <v>23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120"/>
      <c r="O31" s="120"/>
      <c r="P31" s="120"/>
      <c r="Q31" s="120"/>
    </row>
    <row r="32" spans="1:17" x14ac:dyDescent="0.2">
      <c r="A32" s="45" t="s">
        <v>152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120"/>
      <c r="O32" s="120"/>
      <c r="P32" s="120"/>
      <c r="Q32" s="120"/>
    </row>
    <row r="33" spans="1:17" ht="20.399999999999999" x14ac:dyDescent="0.2">
      <c r="A33" s="65" t="s">
        <v>97</v>
      </c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156">
        <f t="shared" ref="N33:N37" si="6">SUM(B33:M33)</f>
        <v>0</v>
      </c>
      <c r="O33" s="157"/>
      <c r="P33" s="157"/>
      <c r="Q33" s="157"/>
    </row>
    <row r="34" spans="1:17" ht="20.399999999999999" x14ac:dyDescent="0.2">
      <c r="A34" s="65" t="s">
        <v>150</v>
      </c>
      <c r="B34" s="55">
        <f t="shared" ref="B34:M34" si="7">IF(B23&gt;0,B23,0)</f>
        <v>0</v>
      </c>
      <c r="C34" s="55">
        <f t="shared" si="7"/>
        <v>0</v>
      </c>
      <c r="D34" s="55">
        <f t="shared" si="7"/>
        <v>0</v>
      </c>
      <c r="E34" s="55">
        <f t="shared" si="7"/>
        <v>0</v>
      </c>
      <c r="F34" s="55">
        <f t="shared" si="7"/>
        <v>0</v>
      </c>
      <c r="G34" s="55">
        <f t="shared" si="7"/>
        <v>0</v>
      </c>
      <c r="H34" s="55">
        <f t="shared" si="7"/>
        <v>0</v>
      </c>
      <c r="I34" s="55">
        <f t="shared" si="7"/>
        <v>0</v>
      </c>
      <c r="J34" s="55">
        <f t="shared" si="7"/>
        <v>0</v>
      </c>
      <c r="K34" s="55">
        <f t="shared" si="7"/>
        <v>0</v>
      </c>
      <c r="L34" s="55">
        <f t="shared" si="7"/>
        <v>0</v>
      </c>
      <c r="M34" s="55">
        <f t="shared" si="7"/>
        <v>0</v>
      </c>
      <c r="N34" s="156">
        <f t="shared" si="6"/>
        <v>0</v>
      </c>
      <c r="O34" s="154">
        <f t="shared" ref="O34:Q35" si="8">IF(O23&gt;0,O23,0)</f>
        <v>0</v>
      </c>
      <c r="P34" s="154">
        <f t="shared" si="8"/>
        <v>0</v>
      </c>
      <c r="Q34" s="154">
        <f t="shared" si="8"/>
        <v>0</v>
      </c>
    </row>
    <row r="35" spans="1:17" x14ac:dyDescent="0.2">
      <c r="A35" s="65" t="s">
        <v>151</v>
      </c>
      <c r="B35" s="55">
        <f t="shared" ref="B35:M35" si="9">IF(B24&gt;0,B24,0)</f>
        <v>0</v>
      </c>
      <c r="C35" s="55">
        <f t="shared" si="9"/>
        <v>0</v>
      </c>
      <c r="D35" s="55">
        <f t="shared" si="9"/>
        <v>0</v>
      </c>
      <c r="E35" s="55">
        <f t="shared" si="9"/>
        <v>0</v>
      </c>
      <c r="F35" s="55">
        <f t="shared" si="9"/>
        <v>0</v>
      </c>
      <c r="G35" s="55">
        <f t="shared" si="9"/>
        <v>0</v>
      </c>
      <c r="H35" s="55">
        <f t="shared" si="9"/>
        <v>0</v>
      </c>
      <c r="I35" s="55">
        <f t="shared" si="9"/>
        <v>0</v>
      </c>
      <c r="J35" s="55">
        <f t="shared" si="9"/>
        <v>0</v>
      </c>
      <c r="K35" s="55">
        <f t="shared" si="9"/>
        <v>0</v>
      </c>
      <c r="L35" s="55">
        <f t="shared" si="9"/>
        <v>0</v>
      </c>
      <c r="M35" s="55">
        <f t="shared" si="9"/>
        <v>0</v>
      </c>
      <c r="N35" s="154">
        <f>IF(N24&gt;0,N24,0)</f>
        <v>0</v>
      </c>
      <c r="O35" s="154">
        <f t="shared" si="8"/>
        <v>0</v>
      </c>
      <c r="P35" s="154">
        <f t="shared" si="8"/>
        <v>0</v>
      </c>
      <c r="Q35" s="154">
        <f t="shared" si="8"/>
        <v>0</v>
      </c>
    </row>
    <row r="36" spans="1:17" x14ac:dyDescent="0.2">
      <c r="A36" s="70" t="s">
        <v>153</v>
      </c>
      <c r="B36" s="55">
        <f t="shared" ref="B36:M36" si="10">IF(B27&gt;0,B27,0)</f>
        <v>0</v>
      </c>
      <c r="C36" s="55">
        <f t="shared" si="10"/>
        <v>0</v>
      </c>
      <c r="D36" s="55">
        <f t="shared" si="10"/>
        <v>0</v>
      </c>
      <c r="E36" s="55">
        <f t="shared" si="10"/>
        <v>0</v>
      </c>
      <c r="F36" s="55">
        <f t="shared" si="10"/>
        <v>0</v>
      </c>
      <c r="G36" s="55">
        <f t="shared" si="10"/>
        <v>0</v>
      </c>
      <c r="H36" s="55">
        <f t="shared" si="10"/>
        <v>0</v>
      </c>
      <c r="I36" s="55">
        <f t="shared" si="10"/>
        <v>0</v>
      </c>
      <c r="J36" s="55">
        <f t="shared" si="10"/>
        <v>0</v>
      </c>
      <c r="K36" s="55">
        <f t="shared" si="10"/>
        <v>0</v>
      </c>
      <c r="L36" s="55">
        <f t="shared" si="10"/>
        <v>0</v>
      </c>
      <c r="M36" s="55">
        <f t="shared" si="10"/>
        <v>0</v>
      </c>
      <c r="N36" s="156">
        <f t="shared" si="6"/>
        <v>0</v>
      </c>
      <c r="O36" s="154">
        <f>IF(O27&gt;0,O27,0)</f>
        <v>0</v>
      </c>
      <c r="P36" s="154">
        <f>IF(P27&gt;0,P27,0)</f>
        <v>0</v>
      </c>
      <c r="Q36" s="154">
        <f>IF(Q27&gt;0,Q27,0)</f>
        <v>0</v>
      </c>
    </row>
    <row r="37" spans="1:17" x14ac:dyDescent="0.2">
      <c r="A37" s="65" t="s">
        <v>154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156">
        <f t="shared" si="6"/>
        <v>0</v>
      </c>
      <c r="O37" s="157"/>
      <c r="P37" s="157"/>
      <c r="Q37" s="157"/>
    </row>
    <row r="38" spans="1:17" x14ac:dyDescent="0.2">
      <c r="A38" s="72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120"/>
      <c r="O38" s="120"/>
      <c r="P38" s="120"/>
      <c r="Q38" s="120"/>
    </row>
    <row r="39" spans="1:17" x14ac:dyDescent="0.2">
      <c r="A39" s="73" t="s">
        <v>14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120"/>
      <c r="O39" s="120"/>
      <c r="P39" s="120"/>
      <c r="Q39" s="120"/>
    </row>
    <row r="40" spans="1:17" x14ac:dyDescent="0.2">
      <c r="A40" s="45" t="s">
        <v>126</v>
      </c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120"/>
      <c r="O40" s="120"/>
      <c r="P40" s="120"/>
      <c r="Q40" s="120"/>
    </row>
    <row r="41" spans="1:17" x14ac:dyDescent="0.2">
      <c r="A41" s="50" t="s">
        <v>8</v>
      </c>
      <c r="B41" s="74">
        <f>Tooted!F8</f>
        <v>0</v>
      </c>
      <c r="C41" s="74">
        <f>Tooted!G8</f>
        <v>0</v>
      </c>
      <c r="D41" s="74">
        <f>Tooted!H8</f>
        <v>0</v>
      </c>
      <c r="E41" s="74">
        <f>Tooted!I8</f>
        <v>0</v>
      </c>
      <c r="F41" s="74">
        <f>Tooted!J8</f>
        <v>0</v>
      </c>
      <c r="G41" s="74">
        <f>Tooted!K8</f>
        <v>0</v>
      </c>
      <c r="H41" s="74">
        <f>Tooted!L8</f>
        <v>0</v>
      </c>
      <c r="I41" s="74">
        <f>Tooted!M8</f>
        <v>0</v>
      </c>
      <c r="J41" s="74">
        <f>Tooted!N8</f>
        <v>0</v>
      </c>
      <c r="K41" s="74">
        <f>Tooted!O8</f>
        <v>0</v>
      </c>
      <c r="L41" s="74">
        <f>Tooted!P8</f>
        <v>0</v>
      </c>
      <c r="M41" s="74">
        <f>Tooted!Q8</f>
        <v>0</v>
      </c>
      <c r="N41" s="156">
        <f>SUM(B41:M41)</f>
        <v>0</v>
      </c>
      <c r="O41" s="159">
        <f>Tooted!S8</f>
        <v>0</v>
      </c>
      <c r="P41" s="159">
        <f>Tooted!T8</f>
        <v>0</v>
      </c>
      <c r="Q41" s="159">
        <f>Tooted!U8</f>
        <v>0</v>
      </c>
    </row>
    <row r="42" spans="1:17" x14ac:dyDescent="0.2">
      <c r="A42" s="50" t="s">
        <v>125</v>
      </c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156">
        <f>SUM(B42:M42)</f>
        <v>0</v>
      </c>
      <c r="O42" s="157"/>
      <c r="P42" s="157"/>
      <c r="Q42" s="157"/>
    </row>
    <row r="43" spans="1:17" x14ac:dyDescent="0.2">
      <c r="A43" s="183" t="s">
        <v>196</v>
      </c>
      <c r="B43" s="79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156">
        <f>SUM(B43:M43)</f>
        <v>0</v>
      </c>
      <c r="O43" s="157"/>
      <c r="P43" s="157"/>
      <c r="Q43" s="157"/>
    </row>
    <row r="44" spans="1:17" ht="3" customHeight="1" x14ac:dyDescent="0.2">
      <c r="A44" s="72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166">
        <f>SUM(B44:M44)</f>
        <v>0</v>
      </c>
      <c r="O44" s="120"/>
      <c r="P44" s="120"/>
      <c r="Q44" s="120"/>
    </row>
    <row r="45" spans="1:17" x14ac:dyDescent="0.2">
      <c r="A45" s="75" t="s">
        <v>17</v>
      </c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166"/>
      <c r="O45" s="120"/>
      <c r="P45" s="120"/>
      <c r="Q45" s="120"/>
    </row>
    <row r="46" spans="1:17" x14ac:dyDescent="0.2">
      <c r="A46" s="76" t="s">
        <v>156</v>
      </c>
      <c r="B46" s="77">
        <f t="shared" ref="B46:M46" si="11">IF(B25&gt;0,B25,0)</f>
        <v>0</v>
      </c>
      <c r="C46" s="77">
        <f t="shared" si="11"/>
        <v>0</v>
      </c>
      <c r="D46" s="77">
        <f t="shared" si="11"/>
        <v>0</v>
      </c>
      <c r="E46" s="77">
        <f t="shared" si="11"/>
        <v>0</v>
      </c>
      <c r="F46" s="77">
        <f t="shared" si="11"/>
        <v>0</v>
      </c>
      <c r="G46" s="77">
        <f t="shared" si="11"/>
        <v>0</v>
      </c>
      <c r="H46" s="77">
        <f t="shared" si="11"/>
        <v>0</v>
      </c>
      <c r="I46" s="77">
        <f t="shared" si="11"/>
        <v>0</v>
      </c>
      <c r="J46" s="77">
        <f t="shared" si="11"/>
        <v>0</v>
      </c>
      <c r="K46" s="77">
        <f t="shared" si="11"/>
        <v>0</v>
      </c>
      <c r="L46" s="77">
        <f t="shared" si="11"/>
        <v>0</v>
      </c>
      <c r="M46" s="77">
        <f t="shared" si="11"/>
        <v>0</v>
      </c>
      <c r="N46" s="156">
        <f>SUM(B46:M46)</f>
        <v>0</v>
      </c>
      <c r="O46" s="160">
        <f>IF(O25&gt;0,O25,0)</f>
        <v>0</v>
      </c>
      <c r="P46" s="160">
        <f>IF(P25&gt;0,P25,0)</f>
        <v>0</v>
      </c>
      <c r="Q46" s="160">
        <f>IF(Q25&gt;0,Q25,0)</f>
        <v>0</v>
      </c>
    </row>
    <row r="47" spans="1:17" x14ac:dyDescent="0.2">
      <c r="A47" s="66" t="s">
        <v>133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120"/>
      <c r="O47" s="120"/>
      <c r="P47" s="120"/>
      <c r="Q47" s="120"/>
    </row>
    <row r="48" spans="1:17" x14ac:dyDescent="0.2">
      <c r="A48" s="50" t="s">
        <v>9</v>
      </c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156">
        <f>SUM(B48:M48)</f>
        <v>0</v>
      </c>
      <c r="O48" s="157"/>
      <c r="P48" s="157"/>
      <c r="Q48" s="157"/>
    </row>
    <row r="49" spans="1:17" x14ac:dyDescent="0.2">
      <c r="A49" s="50" t="s">
        <v>164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156">
        <f t="shared" ref="N49:N50" si="12">SUM(B49:M49)</f>
        <v>0</v>
      </c>
      <c r="O49" s="157"/>
      <c r="P49" s="157"/>
      <c r="Q49" s="157"/>
    </row>
    <row r="50" spans="1:17" x14ac:dyDescent="0.2">
      <c r="A50" s="50" t="s">
        <v>165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156">
        <f t="shared" si="12"/>
        <v>0</v>
      </c>
      <c r="O50" s="157"/>
      <c r="P50" s="157"/>
      <c r="Q50" s="157"/>
    </row>
    <row r="51" spans="1:17" x14ac:dyDescent="0.2">
      <c r="A51" s="66" t="s">
        <v>16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120"/>
      <c r="O51" s="158"/>
      <c r="P51" s="158"/>
      <c r="Q51" s="158"/>
    </row>
    <row r="52" spans="1:17" x14ac:dyDescent="0.2">
      <c r="A52" s="50" t="s">
        <v>124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156">
        <f>SUM(B52:M52)</f>
        <v>0</v>
      </c>
      <c r="O52" s="157"/>
      <c r="P52" s="157"/>
      <c r="Q52" s="157"/>
    </row>
    <row r="53" spans="1:17" x14ac:dyDescent="0.2">
      <c r="A53" s="50" t="s">
        <v>134</v>
      </c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156">
        <f>SUM(B53:M53)</f>
        <v>0</v>
      </c>
      <c r="O53" s="157"/>
      <c r="P53" s="157"/>
      <c r="Q53" s="157"/>
    </row>
    <row r="54" spans="1:17" x14ac:dyDescent="0.2">
      <c r="A54" s="235" t="s">
        <v>158</v>
      </c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156">
        <f>SUM(B54:M54)</f>
        <v>0</v>
      </c>
      <c r="O54" s="157"/>
      <c r="P54" s="157"/>
      <c r="Q54" s="157"/>
    </row>
    <row r="55" spans="1:17" s="80" customFormat="1" x14ac:dyDescent="0.2">
      <c r="A55" s="235" t="s">
        <v>197</v>
      </c>
      <c r="B55" s="79"/>
      <c r="C55" s="79"/>
      <c r="D55" s="79"/>
      <c r="E55" s="62"/>
      <c r="F55" s="62"/>
      <c r="G55" s="62"/>
      <c r="H55" s="62"/>
      <c r="I55" s="62"/>
      <c r="J55" s="62"/>
      <c r="K55" s="62"/>
      <c r="L55" s="62"/>
      <c r="M55" s="62"/>
      <c r="N55" s="156">
        <f>SUM(B55:M55)</f>
        <v>0</v>
      </c>
      <c r="O55" s="157"/>
      <c r="P55" s="157"/>
      <c r="Q55" s="157"/>
    </row>
    <row r="56" spans="1:17" x14ac:dyDescent="0.2">
      <c r="A56" s="66" t="s">
        <v>19</v>
      </c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120"/>
      <c r="O56" s="158"/>
      <c r="P56" s="158"/>
      <c r="Q56" s="158"/>
    </row>
    <row r="57" spans="1:17" x14ac:dyDescent="0.2">
      <c r="A57" s="50" t="s">
        <v>157</v>
      </c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156">
        <f>SUM(B57:M57)</f>
        <v>0</v>
      </c>
      <c r="O57" s="157"/>
      <c r="P57" s="157"/>
      <c r="Q57" s="157"/>
    </row>
    <row r="58" spans="1:17" x14ac:dyDescent="0.2">
      <c r="A58" s="50" t="s">
        <v>162</v>
      </c>
      <c r="B58" s="81"/>
      <c r="C58" s="60">
        <f>B57*0.33</f>
        <v>0</v>
      </c>
      <c r="D58" s="60">
        <f t="shared" ref="D58:M58" si="13">C57*0.33</f>
        <v>0</v>
      </c>
      <c r="E58" s="60">
        <f t="shared" si="13"/>
        <v>0</v>
      </c>
      <c r="F58" s="60">
        <f t="shared" si="13"/>
        <v>0</v>
      </c>
      <c r="G58" s="60">
        <f t="shared" si="13"/>
        <v>0</v>
      </c>
      <c r="H58" s="60">
        <f t="shared" si="13"/>
        <v>0</v>
      </c>
      <c r="I58" s="60">
        <f t="shared" si="13"/>
        <v>0</v>
      </c>
      <c r="J58" s="60">
        <f t="shared" si="13"/>
        <v>0</v>
      </c>
      <c r="K58" s="60">
        <f t="shared" si="13"/>
        <v>0</v>
      </c>
      <c r="L58" s="60">
        <f t="shared" si="13"/>
        <v>0</v>
      </c>
      <c r="M58" s="60">
        <f t="shared" si="13"/>
        <v>0</v>
      </c>
      <c r="N58" s="156">
        <f>SUM(B58:M58)</f>
        <v>0</v>
      </c>
      <c r="O58" s="156">
        <f>M57/12*0.33+O57/12*11*0.33</f>
        <v>0</v>
      </c>
      <c r="P58" s="156">
        <f>O57/12*0.33+P57/12*11*0.33</f>
        <v>0</v>
      </c>
      <c r="Q58" s="156">
        <f>P57/12*0.33+Q57/12*11*0.33</f>
        <v>0</v>
      </c>
    </row>
    <row r="59" spans="1:17" x14ac:dyDescent="0.2">
      <c r="A59" s="50" t="s">
        <v>163</v>
      </c>
      <c r="B59" s="81"/>
      <c r="C59" s="60">
        <f t="shared" ref="C59:M59" si="14">B57*0.008</f>
        <v>0</v>
      </c>
      <c r="D59" s="60">
        <f t="shared" si="14"/>
        <v>0</v>
      </c>
      <c r="E59" s="60">
        <f t="shared" si="14"/>
        <v>0</v>
      </c>
      <c r="F59" s="60">
        <f t="shared" si="14"/>
        <v>0</v>
      </c>
      <c r="G59" s="60">
        <f t="shared" si="14"/>
        <v>0</v>
      </c>
      <c r="H59" s="60">
        <f t="shared" si="14"/>
        <v>0</v>
      </c>
      <c r="I59" s="60">
        <f t="shared" si="14"/>
        <v>0</v>
      </c>
      <c r="J59" s="60">
        <f t="shared" si="14"/>
        <v>0</v>
      </c>
      <c r="K59" s="60">
        <f t="shared" si="14"/>
        <v>0</v>
      </c>
      <c r="L59" s="60">
        <f t="shared" si="14"/>
        <v>0</v>
      </c>
      <c r="M59" s="60">
        <f t="shared" si="14"/>
        <v>0</v>
      </c>
      <c r="N59" s="156">
        <f>SUM(B59:M59)</f>
        <v>0</v>
      </c>
      <c r="O59" s="156">
        <f>N57/12*0.008+O57/12*11*0.008</f>
        <v>0</v>
      </c>
      <c r="P59" s="156">
        <f>O57/12*0.008+P57/12*11*0.008</f>
        <v>0</v>
      </c>
      <c r="Q59" s="156">
        <f>P57/12*0.008+Q57/12*11*0.008</f>
        <v>0</v>
      </c>
    </row>
    <row r="60" spans="1:17" x14ac:dyDescent="0.2">
      <c r="A60" s="50" t="s">
        <v>18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156">
        <f>SUM(B60:M60)</f>
        <v>0</v>
      </c>
      <c r="O60" s="157"/>
      <c r="P60" s="157"/>
      <c r="Q60" s="157"/>
    </row>
    <row r="61" spans="1:17" x14ac:dyDescent="0.2">
      <c r="A61" s="45" t="s">
        <v>21</v>
      </c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120"/>
      <c r="O61" s="158"/>
      <c r="P61" s="158"/>
      <c r="Q61" s="158"/>
    </row>
    <row r="62" spans="1:17" x14ac:dyDescent="0.2">
      <c r="A62" s="50" t="s">
        <v>63</v>
      </c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156">
        <f>SUM(B62:M62)</f>
        <v>0</v>
      </c>
      <c r="O62" s="157"/>
      <c r="P62" s="157"/>
      <c r="Q62" s="157"/>
    </row>
    <row r="63" spans="1:17" x14ac:dyDescent="0.2">
      <c r="A63" s="63" t="s">
        <v>5</v>
      </c>
      <c r="B63" s="60">
        <f>IF('Alusta siit!'!$C22="jah",ROUND((SUM(B33:B55)+B60)*0.22,0),0)</f>
        <v>0</v>
      </c>
      <c r="C63" s="60">
        <f>IF('Alusta siit!'!$C22="jah",ROUND((SUM(C33:C55)+C60)*0.22,0),0)</f>
        <v>0</v>
      </c>
      <c r="D63" s="60">
        <f>IF('Alusta siit!'!$C22="jah",ROUND((SUM(D33:D55)+D60)*0.22,0),0)</f>
        <v>0</v>
      </c>
      <c r="E63" s="60">
        <f>IF('Alusta siit!'!$C22="jah",ROUND((SUM(E33:E55)+E60)*0.22,0),0)</f>
        <v>0</v>
      </c>
      <c r="F63" s="60">
        <f>IF('Alusta siit!'!$C22="jah",ROUND((SUM(F33:F55)+F60)*0.22,0),0)</f>
        <v>0</v>
      </c>
      <c r="G63" s="60">
        <f>IF('Alusta siit!'!$C22="jah",ROUND((SUM(G33:G55)+G60)*0.22,0),0)</f>
        <v>0</v>
      </c>
      <c r="H63" s="60">
        <f>IF('Alusta siit!'!$C22="jah",ROUND((SUM(H33:H55)+H60)*0.22,0),0)</f>
        <v>0</v>
      </c>
      <c r="I63" s="60">
        <f>IF('Alusta siit!'!$C22="jah",ROUND((SUM(I33:I55)+I60)*0.22,0),0)</f>
        <v>0</v>
      </c>
      <c r="J63" s="60">
        <f>IF('Alusta siit!'!$C22="jah",ROUND((SUM(J33:J55)+J60)*0.22,0),0)</f>
        <v>0</v>
      </c>
      <c r="K63" s="60">
        <f>IF('Alusta siit!'!$C22="jah",ROUND((SUM(K33:K55)+K60)*0.22,0),0)</f>
        <v>0</v>
      </c>
      <c r="L63" s="60">
        <f>IF('Alusta siit!'!$C22="jah",ROUND((SUM(L33:L55)+L60)*0.22,0),0)</f>
        <v>0</v>
      </c>
      <c r="M63" s="60">
        <f>IF('Alusta siit!'!$C22="jah",ROUND((SUM(M33:M55)+M60)*0.22,0),0)</f>
        <v>0</v>
      </c>
      <c r="N63" s="156">
        <f>SUM(B63:M63)</f>
        <v>0</v>
      </c>
      <c r="O63" s="156">
        <f>IF('Alusta siit!'!$D22="jah",ROUND((SUM(O33:O55)+O60)*0.22,0),0)</f>
        <v>0</v>
      </c>
      <c r="P63" s="156">
        <f>IF('Alusta siit!'!$D22="jah",ROUND((SUM(P33:P55)+P60)*0.22,0),0)</f>
        <v>0</v>
      </c>
      <c r="Q63" s="156">
        <f>IF('Alusta siit!'!$D22="jah",ROUND((SUM(Q33:Q55)-#REF!-#REF!+Q60)*0.2,0),0)</f>
        <v>0</v>
      </c>
    </row>
    <row r="64" spans="1:17" ht="10.8" thickBot="1" x14ac:dyDescent="0.25">
      <c r="A64" s="82" t="s">
        <v>22</v>
      </c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122"/>
      <c r="O64" s="161"/>
      <c r="P64" s="161"/>
      <c r="Q64" s="161"/>
    </row>
    <row r="65" spans="1:18" s="80" customFormat="1" ht="10.8" thickBot="1" x14ac:dyDescent="0.25">
      <c r="A65" s="78" t="s">
        <v>174</v>
      </c>
      <c r="B65" s="79"/>
      <c r="C65" s="79"/>
      <c r="D65" s="79"/>
      <c r="E65" s="62"/>
      <c r="F65" s="62"/>
      <c r="G65" s="62"/>
      <c r="H65" s="62"/>
      <c r="I65" s="62"/>
      <c r="J65" s="62"/>
      <c r="K65" s="62"/>
      <c r="L65" s="62"/>
      <c r="M65" s="55">
        <f>IF(SUM(B65:L65)&lt;=Bilanss!B30,Bilanss!B30-SUM(B65:L65),0)</f>
        <v>0</v>
      </c>
      <c r="N65" s="154">
        <f>IF(SUM(B65:M65)=Bilanss!B30,SUM(B65:M65),IF(Bilanss!B30-SUM(B65:M65)&lt;0,"Viga, kliki siin!",Bilanss!B30-SUM(B65:M65)))</f>
        <v>0</v>
      </c>
      <c r="O65" s="157"/>
      <c r="P65" s="157"/>
      <c r="Q65" s="162"/>
      <c r="R65" s="84"/>
    </row>
    <row r="66" spans="1:18" s="80" customFormat="1" x14ac:dyDescent="0.2">
      <c r="A66" s="78" t="s">
        <v>175</v>
      </c>
      <c r="B66" s="79"/>
      <c r="C66" s="79"/>
      <c r="D66" s="79"/>
      <c r="E66" s="62"/>
      <c r="F66" s="62"/>
      <c r="G66" s="62"/>
      <c r="H66" s="62"/>
      <c r="I66" s="62"/>
      <c r="J66" s="62"/>
      <c r="K66" s="62"/>
      <c r="L66" s="62"/>
      <c r="M66" s="258">
        <f>IF(SUM(B66:L66)&lt;=Bilanss!B29+N22,(Bilanss!B29+N22-SUM(B66:L66)),0)</f>
        <v>0</v>
      </c>
      <c r="N66" s="154">
        <f>IF(SUM(B66:M66)&lt;Bilanss!B29,"Viga, kliki siin!",IF(SUM(B66:M66)&gt;(Bilanss!B29+SUM(B66:M66)),"Viga, kliki siin!",SUM(B66:M66)))</f>
        <v>0</v>
      </c>
      <c r="O66" s="157"/>
      <c r="P66" s="157"/>
      <c r="Q66" s="157"/>
    </row>
    <row r="67" spans="1:18" s="80" customFormat="1" x14ac:dyDescent="0.2">
      <c r="A67" s="78" t="s">
        <v>138</v>
      </c>
      <c r="B67" s="79"/>
      <c r="C67" s="79"/>
      <c r="D67" s="79"/>
      <c r="E67" s="62"/>
      <c r="F67" s="62"/>
      <c r="G67" s="62"/>
      <c r="H67" s="62"/>
      <c r="I67" s="62"/>
      <c r="J67" s="62"/>
      <c r="K67" s="62"/>
      <c r="L67" s="62"/>
      <c r="M67" s="62"/>
      <c r="N67" s="156">
        <f>SUM(B67:M67)</f>
        <v>0</v>
      </c>
      <c r="O67" s="157"/>
      <c r="P67" s="157"/>
      <c r="Q67" s="157"/>
    </row>
    <row r="68" spans="1:18" x14ac:dyDescent="0.2">
      <c r="A68" s="50" t="s">
        <v>26</v>
      </c>
      <c r="B68" s="81"/>
      <c r="C68" s="60">
        <f>IF(B77&gt;0,B77,0)</f>
        <v>0</v>
      </c>
      <c r="D68" s="60">
        <f>IF(AND(B77&lt;0,C77&lt;=0),B77,IF(AND(B77&gt;=0,C77&lt;0),0,IF(AND(B77&lt;0,C77&gt;0),B77+C77,C77)))</f>
        <v>0</v>
      </c>
      <c r="E68" s="60">
        <f t="shared" ref="E68:M68" si="15">IF(AND(C77&lt;0,D77&lt;=0),C77,IF(AND(C77&gt;=0,D77&lt;0),0,IF(AND(C77&lt;0,D77&gt;0),C77+D77,D77)))</f>
        <v>0</v>
      </c>
      <c r="F68" s="60">
        <f t="shared" si="15"/>
        <v>0</v>
      </c>
      <c r="G68" s="60">
        <f t="shared" si="15"/>
        <v>0</v>
      </c>
      <c r="H68" s="60">
        <f t="shared" si="15"/>
        <v>0</v>
      </c>
      <c r="I68" s="60">
        <f t="shared" si="15"/>
        <v>0</v>
      </c>
      <c r="J68" s="60">
        <f t="shared" si="15"/>
        <v>0</v>
      </c>
      <c r="K68" s="60">
        <f t="shared" si="15"/>
        <v>0</v>
      </c>
      <c r="L68" s="60">
        <f t="shared" si="15"/>
        <v>0</v>
      </c>
      <c r="M68" s="60">
        <f t="shared" si="15"/>
        <v>0</v>
      </c>
      <c r="N68" s="156">
        <f>SUM(B68:M68)</f>
        <v>0</v>
      </c>
      <c r="O68" s="156">
        <f>L77+M77+O77-O77/12</f>
        <v>0</v>
      </c>
      <c r="P68" s="156">
        <f>O77/12+P77-P77/12</f>
        <v>0</v>
      </c>
      <c r="Q68" s="156">
        <f>P77/12+Q77-Q77/12</f>
        <v>0</v>
      </c>
    </row>
    <row r="69" spans="1:18" x14ac:dyDescent="0.2">
      <c r="A69" s="50" t="s">
        <v>135</v>
      </c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156">
        <f>SUM(B69:M69)</f>
        <v>0</v>
      </c>
      <c r="O69" s="157"/>
      <c r="P69" s="157"/>
      <c r="Q69" s="157"/>
    </row>
    <row r="70" spans="1:18" s="45" customFormat="1" x14ac:dyDescent="0.2">
      <c r="A70" s="85" t="s">
        <v>10</v>
      </c>
      <c r="B70" s="60">
        <f t="shared" ref="B70:Q70" si="16">SUM(B33:B69)</f>
        <v>0</v>
      </c>
      <c r="C70" s="60">
        <f t="shared" si="16"/>
        <v>0</v>
      </c>
      <c r="D70" s="60">
        <f t="shared" si="16"/>
        <v>0</v>
      </c>
      <c r="E70" s="60">
        <f t="shared" si="16"/>
        <v>0</v>
      </c>
      <c r="F70" s="60">
        <f t="shared" si="16"/>
        <v>0</v>
      </c>
      <c r="G70" s="60">
        <f t="shared" si="16"/>
        <v>0</v>
      </c>
      <c r="H70" s="60">
        <f t="shared" si="16"/>
        <v>0</v>
      </c>
      <c r="I70" s="60">
        <f t="shared" si="16"/>
        <v>0</v>
      </c>
      <c r="J70" s="60">
        <f t="shared" si="16"/>
        <v>0</v>
      </c>
      <c r="K70" s="60">
        <f t="shared" si="16"/>
        <v>0</v>
      </c>
      <c r="L70" s="60">
        <f t="shared" si="16"/>
        <v>0</v>
      </c>
      <c r="M70" s="60">
        <f t="shared" si="16"/>
        <v>0</v>
      </c>
      <c r="N70" s="156">
        <f t="shared" si="16"/>
        <v>0</v>
      </c>
      <c r="O70" s="156">
        <f t="shared" si="16"/>
        <v>0</v>
      </c>
      <c r="P70" s="156">
        <f t="shared" si="16"/>
        <v>0</v>
      </c>
      <c r="Q70" s="156">
        <f t="shared" si="16"/>
        <v>0</v>
      </c>
    </row>
    <row r="71" spans="1:18" s="45" customFormat="1" x14ac:dyDescent="0.2">
      <c r="A71" s="75" t="s">
        <v>95</v>
      </c>
      <c r="B71" s="86">
        <f>SUM(raha2)-SUM(kohu2)</f>
        <v>0</v>
      </c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167">
        <f>B71</f>
        <v>0</v>
      </c>
      <c r="O71" s="119"/>
      <c r="P71" s="119"/>
      <c r="Q71" s="119"/>
    </row>
    <row r="72" spans="1:18" x14ac:dyDescent="0.2">
      <c r="A72" s="85" t="s">
        <v>11</v>
      </c>
      <c r="B72" s="43">
        <f>B4+B28-B70+B71</f>
        <v>0</v>
      </c>
      <c r="C72" s="60">
        <f t="shared" ref="C72:M72" si="17">C28+C4-C70</f>
        <v>0</v>
      </c>
      <c r="D72" s="60">
        <f t="shared" si="17"/>
        <v>0</v>
      </c>
      <c r="E72" s="60">
        <f t="shared" si="17"/>
        <v>0</v>
      </c>
      <c r="F72" s="60">
        <f t="shared" si="17"/>
        <v>0</v>
      </c>
      <c r="G72" s="60">
        <f t="shared" si="17"/>
        <v>0</v>
      </c>
      <c r="H72" s="60">
        <f t="shared" si="17"/>
        <v>0</v>
      </c>
      <c r="I72" s="60">
        <f t="shared" si="17"/>
        <v>0</v>
      </c>
      <c r="J72" s="60">
        <f t="shared" si="17"/>
        <v>0</v>
      </c>
      <c r="K72" s="60">
        <f t="shared" si="17"/>
        <v>0</v>
      </c>
      <c r="L72" s="60">
        <f t="shared" si="17"/>
        <v>0</v>
      </c>
      <c r="M72" s="60">
        <f t="shared" si="17"/>
        <v>0</v>
      </c>
      <c r="N72" s="156">
        <f>N4+N28-N70+N71</f>
        <v>0</v>
      </c>
      <c r="O72" s="177">
        <f>O28+O4-O70</f>
        <v>0</v>
      </c>
      <c r="P72" s="156">
        <f>P28+P4-P70</f>
        <v>0</v>
      </c>
      <c r="Q72" s="156">
        <f>Q28+Q4-Q70</f>
        <v>0</v>
      </c>
    </row>
    <row r="73" spans="1:18" x14ac:dyDescent="0.2">
      <c r="N73" s="87">
        <f>Bilanss!B29</f>
        <v>0</v>
      </c>
    </row>
    <row r="74" spans="1:18" x14ac:dyDescent="0.2">
      <c r="B74" s="270" t="s">
        <v>96</v>
      </c>
      <c r="C74" s="46"/>
      <c r="D74" s="46"/>
      <c r="E74" s="46"/>
      <c r="F74" s="46"/>
      <c r="G74" s="46"/>
      <c r="H74" s="46"/>
      <c r="I74" s="46"/>
      <c r="J74" s="46"/>
      <c r="N74" s="87">
        <f>Bilanss!B30</f>
        <v>0</v>
      </c>
    </row>
    <row r="75" spans="1:18" ht="17.25" customHeight="1" x14ac:dyDescent="0.2">
      <c r="B75" s="271" t="s">
        <v>193</v>
      </c>
      <c r="C75" s="46"/>
      <c r="D75" s="46"/>
      <c r="E75" s="46"/>
      <c r="F75" s="46"/>
      <c r="G75" s="46"/>
      <c r="H75" s="46"/>
      <c r="I75" s="46"/>
      <c r="J75" s="46"/>
    </row>
    <row r="76" spans="1:18" ht="18" hidden="1" customHeight="1" x14ac:dyDescent="0.2"/>
    <row r="77" spans="1:18" s="88" customFormat="1" ht="17.25" hidden="1" customHeight="1" x14ac:dyDescent="0.2">
      <c r="A77" s="88" t="s">
        <v>90</v>
      </c>
      <c r="B77" s="89">
        <f t="shared" ref="B77:M77" si="18">B19-B63</f>
        <v>0</v>
      </c>
      <c r="C77" s="89">
        <f t="shared" si="18"/>
        <v>0</v>
      </c>
      <c r="D77" s="89">
        <f t="shared" si="18"/>
        <v>0</v>
      </c>
      <c r="E77" s="89">
        <f t="shared" si="18"/>
        <v>0</v>
      </c>
      <c r="F77" s="89">
        <f t="shared" si="18"/>
        <v>0</v>
      </c>
      <c r="G77" s="89">
        <f t="shared" si="18"/>
        <v>0</v>
      </c>
      <c r="H77" s="89">
        <f t="shared" si="18"/>
        <v>0</v>
      </c>
      <c r="I77" s="89">
        <f t="shared" si="18"/>
        <v>0</v>
      </c>
      <c r="J77" s="89">
        <f t="shared" si="18"/>
        <v>0</v>
      </c>
      <c r="K77" s="89">
        <f t="shared" si="18"/>
        <v>0</v>
      </c>
      <c r="L77" s="89">
        <f t="shared" si="18"/>
        <v>0</v>
      </c>
      <c r="M77" s="89">
        <f t="shared" si="18"/>
        <v>0</v>
      </c>
      <c r="N77" s="89"/>
      <c r="O77" s="164">
        <f>O19-O63</f>
        <v>0</v>
      </c>
      <c r="P77" s="164">
        <f>P19-P63</f>
        <v>0</v>
      </c>
      <c r="Q77" s="164">
        <f>Q19-Q63</f>
        <v>0</v>
      </c>
    </row>
    <row r="78" spans="1:18" s="88" customFormat="1" ht="15" hidden="1" customHeight="1" x14ac:dyDescent="0.2">
      <c r="A78" s="88" t="s">
        <v>110</v>
      </c>
      <c r="B78" s="89">
        <f>B26</f>
        <v>0</v>
      </c>
      <c r="C78" s="89">
        <f>C26</f>
        <v>0</v>
      </c>
      <c r="D78" s="89">
        <f t="shared" ref="D78:N78" si="19">D26</f>
        <v>0</v>
      </c>
      <c r="E78" s="89">
        <f t="shared" si="19"/>
        <v>0</v>
      </c>
      <c r="F78" s="89">
        <f t="shared" si="19"/>
        <v>0</v>
      </c>
      <c r="G78" s="89">
        <f t="shared" si="19"/>
        <v>0</v>
      </c>
      <c r="H78" s="89">
        <f t="shared" si="19"/>
        <v>0</v>
      </c>
      <c r="I78" s="89">
        <f t="shared" si="19"/>
        <v>0</v>
      </c>
      <c r="J78" s="89">
        <f t="shared" si="19"/>
        <v>0</v>
      </c>
      <c r="K78" s="89">
        <f t="shared" si="19"/>
        <v>0</v>
      </c>
      <c r="L78" s="89">
        <f t="shared" si="19"/>
        <v>0</v>
      </c>
      <c r="M78" s="89">
        <f t="shared" si="19"/>
        <v>0</v>
      </c>
      <c r="N78" s="89">
        <f t="shared" si="19"/>
        <v>0</v>
      </c>
      <c r="O78" s="89">
        <f>O26+O27</f>
        <v>0</v>
      </c>
      <c r="P78" s="89">
        <f>P26+P27</f>
        <v>0</v>
      </c>
      <c r="Q78" s="89">
        <f>Q26+Q27</f>
        <v>0</v>
      </c>
    </row>
    <row r="79" spans="1:18" s="88" customFormat="1" ht="17.25" hidden="1" customHeight="1" x14ac:dyDescent="0.2">
      <c r="A79" s="88" t="s">
        <v>91</v>
      </c>
      <c r="B79" s="89">
        <f>B33</f>
        <v>0</v>
      </c>
      <c r="C79" s="89">
        <f>SUM($B33:C33)</f>
        <v>0</v>
      </c>
      <c r="D79" s="89">
        <f>SUM($B33:D33)</f>
        <v>0</v>
      </c>
      <c r="E79" s="89">
        <f>SUM($B33:E33)</f>
        <v>0</v>
      </c>
      <c r="F79" s="89">
        <f>SUM($B33:F33)</f>
        <v>0</v>
      </c>
      <c r="G79" s="89">
        <f>SUM($B33:G33)</f>
        <v>0</v>
      </c>
      <c r="H79" s="89">
        <f>SUM($B33:H33)</f>
        <v>0</v>
      </c>
      <c r="I79" s="89">
        <f>SUM($B33:I33)</f>
        <v>0</v>
      </c>
      <c r="J79" s="89">
        <f>SUM($B33:J33)</f>
        <v>0</v>
      </c>
      <c r="K79" s="89">
        <f>SUM($B33:K33)</f>
        <v>0</v>
      </c>
      <c r="L79" s="89">
        <f>SUM($B33:L33)</f>
        <v>0</v>
      </c>
      <c r="M79" s="89">
        <f>SUM($B33:M33)</f>
        <v>0</v>
      </c>
      <c r="N79" s="89">
        <f>M79</f>
        <v>0</v>
      </c>
      <c r="O79" s="164">
        <f>SUM(N33:O33)</f>
        <v>0</v>
      </c>
      <c r="P79" s="164">
        <f>SUM(N33:P33)</f>
        <v>0</v>
      </c>
      <c r="Q79" s="164">
        <f>SUM(N33:Q33)</f>
        <v>0</v>
      </c>
    </row>
    <row r="80" spans="1:18" s="88" customFormat="1" ht="19.5" hidden="1" customHeight="1" x14ac:dyDescent="0.2">
      <c r="A80" s="88" t="s">
        <v>92</v>
      </c>
      <c r="B80" s="89">
        <f>B34</f>
        <v>0</v>
      </c>
      <c r="C80" s="89">
        <f>SUM($B34:C34)</f>
        <v>0</v>
      </c>
      <c r="D80" s="89">
        <f>SUM($B34:D34)</f>
        <v>0</v>
      </c>
      <c r="E80" s="89">
        <f>SUM($B34:E34)</f>
        <v>0</v>
      </c>
      <c r="F80" s="89">
        <f>SUM($B34:F34)</f>
        <v>0</v>
      </c>
      <c r="G80" s="89">
        <f>SUM($B34:G34)</f>
        <v>0</v>
      </c>
      <c r="H80" s="89">
        <f>SUM($B34:H34)</f>
        <v>0</v>
      </c>
      <c r="I80" s="89">
        <f>SUM($B34:I34)</f>
        <v>0</v>
      </c>
      <c r="J80" s="89">
        <f>SUM($B34:J34)</f>
        <v>0</v>
      </c>
      <c r="K80" s="89">
        <f>SUM($B34:K34)</f>
        <v>0</v>
      </c>
      <c r="L80" s="89">
        <f>SUM($B34:L34)</f>
        <v>0</v>
      </c>
      <c r="M80" s="89">
        <f>SUM($B34:M34)</f>
        <v>0</v>
      </c>
      <c r="N80" s="89">
        <f>M80</f>
        <v>0</v>
      </c>
      <c r="O80" s="164">
        <f>SUM(N34:O34)</f>
        <v>0</v>
      </c>
      <c r="P80" s="164">
        <f>SUM(N34:P34)</f>
        <v>0</v>
      </c>
      <c r="Q80" s="164">
        <f>SUM(N34:Q34)</f>
        <v>0</v>
      </c>
    </row>
    <row r="81" spans="1:17" s="209" customFormat="1" ht="19.5" hidden="1" customHeight="1" x14ac:dyDescent="0.2">
      <c r="A81" s="209" t="s">
        <v>59</v>
      </c>
      <c r="B81" s="210">
        <f>SUM(B37:B37)</f>
        <v>0</v>
      </c>
      <c r="C81" s="210">
        <f>SUM($B37:C37)</f>
        <v>0</v>
      </c>
      <c r="D81" s="210">
        <f>SUM($B37:D37)</f>
        <v>0</v>
      </c>
      <c r="E81" s="210">
        <f>SUM($B37:E37)</f>
        <v>0</v>
      </c>
      <c r="F81" s="210">
        <f>SUM($B37:F37)</f>
        <v>0</v>
      </c>
      <c r="G81" s="210">
        <f>SUM($B37:G37)</f>
        <v>0</v>
      </c>
      <c r="H81" s="210">
        <f>SUM($B37:H37)</f>
        <v>0</v>
      </c>
      <c r="I81" s="210">
        <f>SUM($B37:I37)</f>
        <v>0</v>
      </c>
      <c r="J81" s="210">
        <f>SUM($B37:J37)</f>
        <v>0</v>
      </c>
      <c r="K81" s="210">
        <f>SUM($B37:K37)</f>
        <v>0</v>
      </c>
      <c r="L81" s="210">
        <f>SUM($B37:L37)</f>
        <v>0</v>
      </c>
      <c r="M81" s="210">
        <f>SUM($B37:M37)</f>
        <v>0</v>
      </c>
      <c r="N81" s="210">
        <f>M81</f>
        <v>0</v>
      </c>
      <c r="O81" s="211">
        <f>SUM(N37:O37)</f>
        <v>0</v>
      </c>
      <c r="P81" s="211">
        <f>SUM(N37:P37)</f>
        <v>0</v>
      </c>
      <c r="Q81" s="211">
        <f>SUM(N37:Q37)</f>
        <v>0</v>
      </c>
    </row>
    <row r="82" spans="1:17" s="88" customFormat="1" ht="15" hidden="1" customHeight="1" x14ac:dyDescent="0.2">
      <c r="A82" s="88" t="s">
        <v>159</v>
      </c>
      <c r="B82" s="89">
        <f>B35+B36</f>
        <v>0</v>
      </c>
      <c r="C82" s="89">
        <f>SUM($B35:C36)</f>
        <v>0</v>
      </c>
      <c r="D82" s="89">
        <f>SUM($B35:D36)</f>
        <v>0</v>
      </c>
      <c r="E82" s="89">
        <f>SUM($B35:E36)</f>
        <v>0</v>
      </c>
      <c r="F82" s="89">
        <f>SUM($B35:F36)</f>
        <v>0</v>
      </c>
      <c r="G82" s="89">
        <f>SUM($B35:G36)</f>
        <v>0</v>
      </c>
      <c r="H82" s="89">
        <f>SUM($B35:H36)</f>
        <v>0</v>
      </c>
      <c r="I82" s="89">
        <f>SUM($B35:I36)</f>
        <v>0</v>
      </c>
      <c r="J82" s="89">
        <f>SUM($B35:J36)</f>
        <v>0</v>
      </c>
      <c r="K82" s="89">
        <f>SUM($B35:K36)</f>
        <v>0</v>
      </c>
      <c r="L82" s="89">
        <f>SUM($B35:L36)</f>
        <v>0</v>
      </c>
      <c r="M82" s="89">
        <f>SUM($B35:M36)</f>
        <v>0</v>
      </c>
      <c r="N82" s="89">
        <f>M82</f>
        <v>0</v>
      </c>
      <c r="O82" s="164">
        <f>SUM(N35:O36)</f>
        <v>0</v>
      </c>
      <c r="P82" s="164">
        <f>SUM(N35:P36)</f>
        <v>0</v>
      </c>
      <c r="Q82" s="164">
        <f>SUM(N35:Q36)</f>
        <v>0</v>
      </c>
    </row>
    <row r="83" spans="1:17" s="88" customFormat="1" ht="17.25" hidden="1" customHeight="1" x14ac:dyDescent="0.2">
      <c r="A83" s="88" t="s">
        <v>60</v>
      </c>
      <c r="B83" s="89">
        <f>B79*'Alusta siit!'!$C24/100/12</f>
        <v>0</v>
      </c>
      <c r="C83" s="89">
        <f>C79*'Alusta siit!'!$C24/100/12</f>
        <v>0</v>
      </c>
      <c r="D83" s="89">
        <f>D79*'Alusta siit!'!$C24/100/12</f>
        <v>0</v>
      </c>
      <c r="E83" s="89">
        <f>E79*'Alusta siit!'!$C24/100/12</f>
        <v>0</v>
      </c>
      <c r="F83" s="89">
        <f>F79*'Alusta siit!'!$C24/100/12</f>
        <v>0</v>
      </c>
      <c r="G83" s="89">
        <f>G79*'Alusta siit!'!$C24/100/12</f>
        <v>0</v>
      </c>
      <c r="H83" s="89">
        <f>H79*'Alusta siit!'!$C24/100/12</f>
        <v>0</v>
      </c>
      <c r="I83" s="89">
        <f>I79*'Alusta siit!'!$C24/100/12</f>
        <v>0</v>
      </c>
      <c r="J83" s="89">
        <f>J79*'Alusta siit!'!$C24/100/12</f>
        <v>0</v>
      </c>
      <c r="K83" s="89">
        <f>K79*'Alusta siit!'!$C24/100/12</f>
        <v>0</v>
      </c>
      <c r="L83" s="89">
        <f>L79*'Alusta siit!'!$C24/100/12</f>
        <v>0</v>
      </c>
      <c r="M83" s="89">
        <f>M79*'Alusta siit!'!$C24/100/12</f>
        <v>0</v>
      </c>
      <c r="N83" s="89">
        <f>Bilanss!$B$15*'Alusta siit!'!$C$24/100+SUM(B83:M83)</f>
        <v>0</v>
      </c>
      <c r="O83" s="164">
        <f>Bilanss!$B$15*'Alusta siit!'!$C$24/100+O79*'Alusta siit!'!D24/100</f>
        <v>0</v>
      </c>
      <c r="P83" s="164">
        <f>Bilanss!$B$15*'Alusta siit!'!$C$24/100+P79*'Alusta siit!'!E24/100</f>
        <v>0</v>
      </c>
      <c r="Q83" s="164">
        <f>Bilanss!$B$15*'Alusta siit!'!$C$24/100+Q79*'Alusta siit!'!F24/100</f>
        <v>0</v>
      </c>
    </row>
    <row r="84" spans="1:17" s="88" customFormat="1" ht="21" hidden="1" customHeight="1" x14ac:dyDescent="0.2">
      <c r="A84" s="88" t="s">
        <v>61</v>
      </c>
      <c r="B84" s="89">
        <f>B81*'Alusta siit!'!$C25/100/12</f>
        <v>0</v>
      </c>
      <c r="C84" s="89">
        <f>C81*'Alusta siit!'!$C25/100/12</f>
        <v>0</v>
      </c>
      <c r="D84" s="89">
        <f>D81*'Alusta siit!'!$C25/100/12</f>
        <v>0</v>
      </c>
      <c r="E84" s="89">
        <f>E81*'Alusta siit!'!$C25/100/12</f>
        <v>0</v>
      </c>
      <c r="F84" s="89">
        <f>F81*'Alusta siit!'!$C25/100/12</f>
        <v>0</v>
      </c>
      <c r="G84" s="89">
        <f>G81*'Alusta siit!'!$C25/100/12</f>
        <v>0</v>
      </c>
      <c r="H84" s="89">
        <f>H81*'Alusta siit!'!$C25/100/12</f>
        <v>0</v>
      </c>
      <c r="I84" s="89">
        <f>I81*'Alusta siit!'!$C25/100/12</f>
        <v>0</v>
      </c>
      <c r="J84" s="89">
        <f>J81*'Alusta siit!'!$C25/100/12</f>
        <v>0</v>
      </c>
      <c r="K84" s="89">
        <f>K81*'Alusta siit!'!$C25/100/12</f>
        <v>0</v>
      </c>
      <c r="L84" s="89">
        <f>L81*'Alusta siit!'!$C25/100/12</f>
        <v>0</v>
      </c>
      <c r="M84" s="89">
        <f>M81*'Alusta siit!'!$C25/100/12</f>
        <v>0</v>
      </c>
      <c r="N84" s="89">
        <f>Bilanss!B16*'Alusta siit!'!C25/100+SUM(B84:M84)</f>
        <v>0</v>
      </c>
      <c r="O84" s="164">
        <f>Bilanss!$B$16*'Alusta siit!'!$C$25/100+O81*'Alusta siit!'!D25/100</f>
        <v>0</v>
      </c>
      <c r="P84" s="164">
        <f>Bilanss!$B$16*'Alusta siit!'!$C$25/100+P81*'Alusta siit!'!E25/100</f>
        <v>0</v>
      </c>
      <c r="Q84" s="164">
        <f>Bilanss!$B$16*'Alusta siit!'!$C$25/100+Q81*'Alusta siit!'!F25/100</f>
        <v>0</v>
      </c>
    </row>
    <row r="85" spans="1:17" s="88" customFormat="1" ht="20.25" hidden="1" customHeight="1" x14ac:dyDescent="0.2">
      <c r="A85" s="88" t="s">
        <v>62</v>
      </c>
      <c r="B85" s="89">
        <f>B82*'Alusta siit!'!$C25/100/12</f>
        <v>0</v>
      </c>
      <c r="C85" s="89">
        <f>C82*'Alusta siit!'!$C25/100/12</f>
        <v>0</v>
      </c>
      <c r="D85" s="89">
        <f>D82*'Alusta siit!'!$C25/100/12</f>
        <v>0</v>
      </c>
      <c r="E85" s="89">
        <f>E82*'Alusta siit!'!$C25/100/12</f>
        <v>0</v>
      </c>
      <c r="F85" s="89">
        <f>F82*'Alusta siit!'!$C25/100/12</f>
        <v>0</v>
      </c>
      <c r="G85" s="89">
        <f>G82*'Alusta siit!'!$C25/100/12</f>
        <v>0</v>
      </c>
      <c r="H85" s="89">
        <f>H82*'Alusta siit!'!$C25/100/12</f>
        <v>0</v>
      </c>
      <c r="I85" s="89">
        <f>I82*'Alusta siit!'!$C25/100/12</f>
        <v>0</v>
      </c>
      <c r="J85" s="89">
        <f>J82*'Alusta siit!'!$C25/100/12</f>
        <v>0</v>
      </c>
      <c r="K85" s="89">
        <f>K82*'Alusta siit!'!$C25/100/12</f>
        <v>0</v>
      </c>
      <c r="L85" s="89">
        <f>L82*'Alusta siit!'!$C25/100/12</f>
        <v>0</v>
      </c>
      <c r="M85" s="89">
        <f>M82*'Alusta siit!'!$C25/100/12</f>
        <v>0</v>
      </c>
      <c r="N85" s="89">
        <f>Bilanss!$B$19*'Alusta siit!'!C$25/100+SUM(B85:M85)</f>
        <v>0</v>
      </c>
      <c r="O85" s="164">
        <f>Bilanss!$B$19*'Alusta siit!'!$C$25/100+O82*'Alusta siit!'!D25/100</f>
        <v>0</v>
      </c>
      <c r="P85" s="164">
        <f>Bilanss!$B$19*'Alusta siit!'!$C$25/100+P82*'Alusta siit!'!E25/100</f>
        <v>0</v>
      </c>
      <c r="Q85" s="164">
        <f>Bilanss!$B$19*'Alusta siit!'!$C$25/100+Q82*'Alusta siit!'!F25/100</f>
        <v>0</v>
      </c>
    </row>
    <row r="86" spans="1:17" s="88" customFormat="1" ht="17.25" hidden="1" customHeight="1" x14ac:dyDescent="0.2">
      <c r="A86" s="88" t="s">
        <v>93</v>
      </c>
      <c r="B86" s="89">
        <f>B80*'Alusta siit!'!$C24/100/12</f>
        <v>0</v>
      </c>
      <c r="C86" s="89">
        <f>C80*'Alusta siit!'!$C24/100/12</f>
        <v>0</v>
      </c>
      <c r="D86" s="89">
        <f>D80*'Alusta siit!'!$C24/100/12</f>
        <v>0</v>
      </c>
      <c r="E86" s="89">
        <f>E80*'Alusta siit!'!$C24/100/12</f>
        <v>0</v>
      </c>
      <c r="F86" s="89">
        <f>F80*'Alusta siit!'!$C24/100/12</f>
        <v>0</v>
      </c>
      <c r="G86" s="89">
        <f>G80*'Alusta siit!'!$C24/100/12</f>
        <v>0</v>
      </c>
      <c r="H86" s="89">
        <f>H80*'Alusta siit!'!$C24/100/12</f>
        <v>0</v>
      </c>
      <c r="I86" s="89">
        <f>I80*'Alusta siit!'!$C24/100/12</f>
        <v>0</v>
      </c>
      <c r="J86" s="89">
        <f>J80*'Alusta siit!'!$C24/100/12</f>
        <v>0</v>
      </c>
      <c r="K86" s="89">
        <f>K80*'Alusta siit!'!$C24/100/12</f>
        <v>0</v>
      </c>
      <c r="L86" s="89">
        <f>L80*'Alusta siit!'!$C24/100/12</f>
        <v>0</v>
      </c>
      <c r="M86" s="89">
        <f>M80*'Alusta siit!'!$C24/100/12</f>
        <v>0</v>
      </c>
      <c r="N86" s="89">
        <f>SUM(B86:M86)</f>
        <v>0</v>
      </c>
      <c r="O86" s="164">
        <f>O80*'Alusta siit!'!$C24/100</f>
        <v>0</v>
      </c>
      <c r="P86" s="164">
        <f>P80*'Alusta siit!'!$C24/100</f>
        <v>0</v>
      </c>
      <c r="Q86" s="164">
        <f>Q80*'Alusta siit!'!$C24/100</f>
        <v>0</v>
      </c>
    </row>
    <row r="87" spans="1:17" s="209" customFormat="1" ht="21" hidden="1" customHeight="1" x14ac:dyDescent="0.2">
      <c r="A87" s="209" t="s">
        <v>103</v>
      </c>
      <c r="B87" s="210" t="e">
        <f>#REF!</f>
        <v>#REF!</v>
      </c>
      <c r="C87" s="210" t="e">
        <f>SUM(#REF!)</f>
        <v>#REF!</v>
      </c>
      <c r="D87" s="210" t="e">
        <f>SUM(#REF!)</f>
        <v>#REF!</v>
      </c>
      <c r="E87" s="210" t="e">
        <f>SUM(#REF!)</f>
        <v>#REF!</v>
      </c>
      <c r="F87" s="210" t="e">
        <f>SUM(#REF!)</f>
        <v>#REF!</v>
      </c>
      <c r="G87" s="210" t="e">
        <f>SUM(#REF!)</f>
        <v>#REF!</v>
      </c>
      <c r="H87" s="210" t="e">
        <f>SUM(#REF!)</f>
        <v>#REF!</v>
      </c>
      <c r="I87" s="210" t="e">
        <f>SUM(#REF!)</f>
        <v>#REF!</v>
      </c>
      <c r="J87" s="210" t="e">
        <f>SUM(#REF!)</f>
        <v>#REF!</v>
      </c>
      <c r="K87" s="210" t="e">
        <f>SUM(#REF!)</f>
        <v>#REF!</v>
      </c>
      <c r="L87" s="210" t="e">
        <f>SUM(#REF!)</f>
        <v>#REF!</v>
      </c>
      <c r="M87" s="210" t="e">
        <f>SUM(#REF!)</f>
        <v>#REF!</v>
      </c>
      <c r="N87" s="210" t="e">
        <f>M87</f>
        <v>#REF!</v>
      </c>
      <c r="O87" s="211" t="e">
        <f>SUM(#REF!)</f>
        <v>#REF!</v>
      </c>
      <c r="P87" s="211" t="e">
        <f>SUM(#REF!)</f>
        <v>#REF!</v>
      </c>
      <c r="Q87" s="211" t="e">
        <f>SUM(#REF!)</f>
        <v>#REF!</v>
      </c>
    </row>
    <row r="88" spans="1:17" s="238" customFormat="1" ht="20.25" hidden="1" customHeight="1" x14ac:dyDescent="0.2">
      <c r="A88" s="209" t="s">
        <v>102</v>
      </c>
      <c r="B88" s="210" t="e">
        <f>#REF!</f>
        <v>#REF!</v>
      </c>
      <c r="C88" s="210" t="e">
        <f>SUM(#REF!)</f>
        <v>#REF!</v>
      </c>
      <c r="D88" s="210" t="e">
        <f>SUM(#REF!)</f>
        <v>#REF!</v>
      </c>
      <c r="E88" s="210" t="e">
        <f>SUM(#REF!)</f>
        <v>#REF!</v>
      </c>
      <c r="F88" s="210" t="e">
        <f>SUM(#REF!)</f>
        <v>#REF!</v>
      </c>
      <c r="G88" s="210" t="e">
        <f>SUM(#REF!)</f>
        <v>#REF!</v>
      </c>
      <c r="H88" s="210" t="e">
        <f>SUM(#REF!)</f>
        <v>#REF!</v>
      </c>
      <c r="I88" s="210" t="e">
        <f>SUM(#REF!)</f>
        <v>#REF!</v>
      </c>
      <c r="J88" s="210" t="e">
        <f>SUM(#REF!)</f>
        <v>#REF!</v>
      </c>
      <c r="K88" s="210" t="e">
        <f>SUM(#REF!)</f>
        <v>#REF!</v>
      </c>
      <c r="L88" s="210" t="e">
        <f>SUM(#REF!)</f>
        <v>#REF!</v>
      </c>
      <c r="M88" s="210" t="e">
        <f>SUM(#REF!)</f>
        <v>#REF!</v>
      </c>
      <c r="N88" s="210" t="e">
        <f>M88</f>
        <v>#REF!</v>
      </c>
      <c r="O88" s="211" t="e">
        <f>SUM(#REF!)</f>
        <v>#REF!</v>
      </c>
      <c r="P88" s="211" t="e">
        <f>SUM(#REF!)</f>
        <v>#REF!</v>
      </c>
      <c r="Q88" s="211" t="e">
        <f>SUM(#REF!)</f>
        <v>#REF!</v>
      </c>
    </row>
    <row r="89" spans="1:17" s="238" customFormat="1" ht="18" hidden="1" customHeight="1" x14ac:dyDescent="0.2">
      <c r="A89" s="209" t="s">
        <v>104</v>
      </c>
      <c r="B89" s="210" t="e">
        <f>B87*'Alusta siit!'!#REF!/100/12</f>
        <v>#REF!</v>
      </c>
      <c r="C89" s="210" t="e">
        <f>C87*'Alusta siit!'!#REF!/100/12</f>
        <v>#REF!</v>
      </c>
      <c r="D89" s="210" t="e">
        <f>D87*'Alusta siit!'!#REF!/100/12</f>
        <v>#REF!</v>
      </c>
      <c r="E89" s="210" t="e">
        <f>E87*'Alusta siit!'!#REF!/100/12</f>
        <v>#REF!</v>
      </c>
      <c r="F89" s="210" t="e">
        <f>F87*'Alusta siit!'!#REF!/100/12</f>
        <v>#REF!</v>
      </c>
      <c r="G89" s="210" t="e">
        <f>G87*'Alusta siit!'!#REF!/100/12</f>
        <v>#REF!</v>
      </c>
      <c r="H89" s="210" t="e">
        <f>H87*'Alusta siit!'!#REF!/100/12</f>
        <v>#REF!</v>
      </c>
      <c r="I89" s="210" t="e">
        <f>I87*'Alusta siit!'!#REF!/100/12</f>
        <v>#REF!</v>
      </c>
      <c r="J89" s="210" t="e">
        <f>J87*'Alusta siit!'!#REF!/100/12</f>
        <v>#REF!</v>
      </c>
      <c r="K89" s="210" t="e">
        <f>K87*'Alusta siit!'!#REF!/100/12</f>
        <v>#REF!</v>
      </c>
      <c r="L89" s="210" t="e">
        <f>L87*'Alusta siit!'!#REF!/100/12</f>
        <v>#REF!</v>
      </c>
      <c r="M89" s="210" t="e">
        <f>M87*'Alusta siit!'!#REF!/100/12</f>
        <v>#REF!</v>
      </c>
      <c r="N89" s="210" t="e">
        <f>Bilanss!#REF!*'Alusta siit!'!#REF!/100+SUM(B89:M89)</f>
        <v>#REF!</v>
      </c>
      <c r="O89" s="211" t="e">
        <f>Bilanss!#REF!*'Alusta siit!'!#REF!/100+O87*'Alusta siit!'!#REF!/100</f>
        <v>#REF!</v>
      </c>
      <c r="P89" s="211" t="e">
        <f>Bilanss!#REF!*'Alusta siit!'!#REF!/100+P87*'Alusta siit!'!#REF!/100</f>
        <v>#REF!</v>
      </c>
      <c r="Q89" s="211" t="e">
        <f>Bilanss!#REF!*'Alusta siit!'!#REF!/100+Q87*'Alusta siit!'!#REF!/100</f>
        <v>#REF!</v>
      </c>
    </row>
    <row r="90" spans="1:17" s="238" customFormat="1" ht="30" hidden="1" customHeight="1" x14ac:dyDescent="0.2">
      <c r="A90" s="209" t="s">
        <v>105</v>
      </c>
      <c r="B90" s="210" t="e">
        <f>B88*'Alusta siit!'!#REF!/100/12</f>
        <v>#REF!</v>
      </c>
      <c r="C90" s="210" t="e">
        <f>C88*'Alusta siit!'!#REF!/100/12</f>
        <v>#REF!</v>
      </c>
      <c r="D90" s="210" t="e">
        <f>D88*'Alusta siit!'!#REF!/100/12</f>
        <v>#REF!</v>
      </c>
      <c r="E90" s="210" t="e">
        <f>E88*'Alusta siit!'!#REF!/100/12</f>
        <v>#REF!</v>
      </c>
      <c r="F90" s="210" t="e">
        <f>F88*'Alusta siit!'!#REF!/100/12</f>
        <v>#REF!</v>
      </c>
      <c r="G90" s="210" t="e">
        <f>G88*'Alusta siit!'!#REF!/100/12</f>
        <v>#REF!</v>
      </c>
      <c r="H90" s="210" t="e">
        <f>H88*'Alusta siit!'!#REF!/100/12</f>
        <v>#REF!</v>
      </c>
      <c r="I90" s="210" t="e">
        <f>I88*'Alusta siit!'!#REF!/100/12</f>
        <v>#REF!</v>
      </c>
      <c r="J90" s="210" t="e">
        <f>J88*'Alusta siit!'!#REF!/100/12</f>
        <v>#REF!</v>
      </c>
      <c r="K90" s="210" t="e">
        <f>K88*'Alusta siit!'!#REF!/100/12</f>
        <v>#REF!</v>
      </c>
      <c r="L90" s="210" t="e">
        <f>L88*'Alusta siit!'!#REF!/100/12</f>
        <v>#REF!</v>
      </c>
      <c r="M90" s="210" t="e">
        <f>M88*'Alusta siit!'!#REF!/100/12</f>
        <v>#REF!</v>
      </c>
      <c r="N90" s="210" t="e">
        <f>Bilanss!#REF!*'Alusta siit!'!#REF!/100+SUM(B90:M90)</f>
        <v>#REF!</v>
      </c>
      <c r="O90" s="211" t="e">
        <f>Bilanss!#REF!*'Alusta siit!'!#REF!/100+O88*'Alusta siit!'!#REF!/100</f>
        <v>#REF!</v>
      </c>
      <c r="P90" s="211" t="e">
        <f>Bilanss!#REF!*'Alusta siit!'!#REF!/100+P88*'Alusta siit!'!#REF!/100</f>
        <v>#REF!</v>
      </c>
      <c r="Q90" s="211" t="e">
        <f>Bilanss!#REF!*'Alusta siit!'!#REF!/100+Q88*'Alusta siit!'!#REF!/100</f>
        <v>#REF!</v>
      </c>
    </row>
  </sheetData>
  <sheetProtection algorithmName="SHA-512" hashValue="oJF84VcFFKZlkcpRKPkNUPsM8lJ7oNgtEgeC/JwZ+OSrYqQvPZIN0lyCFOjJDn6AH1Oa7YcylljEf6SWaTIs7w==" saltValue="KXy6y2iSFWvfn3T3LyZIww==" spinCount="100000" sheet="1" formatCells="0" formatColumns="0" formatRows="0" insertColumns="0" insertRows="0" deleteColumns="0" deleteRows="0"/>
  <phoneticPr fontId="2" type="noConversion"/>
  <conditionalFormatting sqref="B72:Q72">
    <cfRule type="cellIs" dxfId="5" priority="4" stopIfTrue="1" operator="lessThan">
      <formula>0</formula>
    </cfRule>
  </conditionalFormatting>
  <conditionalFormatting sqref="N65:N66">
    <cfRule type="expression" dxfId="4" priority="41" stopIfTrue="1">
      <formula>SUM(B65:M65)=N74</formula>
    </cfRule>
    <cfRule type="expression" dxfId="3" priority="42" stopIfTrue="1">
      <formula>N74-SUM(B65:M65)&lt;0</formula>
    </cfRule>
    <cfRule type="expression" dxfId="2" priority="43" stopIfTrue="1">
      <formula>N74-SUM(B65:M65)&gt;0</formula>
    </cfRule>
  </conditionalFormatting>
  <dataValidations xWindow="829" yWindow="474" count="2">
    <dataValidation allowBlank="1" showInputMessage="1" showErrorMessage="1" prompt="Lahtri sisu (summa) ei saa olla suurem kui bilansi real B34 ehk &quot;Pikaajaliste laenude, kapitalirendi lühiajaline osa&quot; näidatud summa!_x000a_" sqref="N65" xr:uid="{00000000-0002-0000-0200-000001000000}"/>
    <dataValidation allowBlank="1" showInputMessage="1" showErrorMessage="1" prompt="Lahtri sisu ei saa olla suurem ega väiksem kui bilansi rea B33 ehk &quot;Lühiajalised võlakohustused (laenud, kapitalirent)&quot; ja kassavoogude rea N22  summa." sqref="N66" xr:uid="{39438791-DAF5-4A70-A8B5-4DAEE1CC65A1}"/>
  </dataValidations>
  <pageMargins left="0.19685039370078741" right="0.19685039370078741" top="0.39370078740157483" bottom="0.35433070866141736" header="0" footer="0"/>
  <pageSetup paperSize="9" scale="49" orientation="landscape" r:id="rId1"/>
  <headerFooter alignWithMargins="0">
    <oddHeader>&amp;L&amp;"Arial,Kursiiv"&amp;8Finantsprognoosid alustavale ettevõtjale</oddHeader>
  </headerFooter>
  <rowBreaks count="3" manualBreakCount="3">
    <brk id="37" max="16" man="1"/>
    <brk id="42" max="16" man="1"/>
    <brk id="75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eht4">
    <pageSetUpPr fitToPage="1"/>
  </sheetPr>
  <dimension ref="A1:I54"/>
  <sheetViews>
    <sheetView topLeftCell="A12" zoomScaleNormal="100" workbookViewId="0">
      <selection activeCell="N23" sqref="N23"/>
    </sheetView>
  </sheetViews>
  <sheetFormatPr defaultColWidth="9.109375" defaultRowHeight="13.2" x14ac:dyDescent="0.25"/>
  <cols>
    <col min="1" max="1" width="66.44140625" style="109" customWidth="1"/>
    <col min="2" max="2" width="3.5546875" style="203" hidden="1" customWidth="1"/>
    <col min="3" max="5" width="12.44140625" style="37" customWidth="1"/>
    <col min="6" max="6" width="12.44140625" style="91" hidden="1" customWidth="1"/>
    <col min="7" max="16384" width="9.109375" style="91"/>
  </cols>
  <sheetData>
    <row r="1" spans="1:6" x14ac:dyDescent="0.25">
      <c r="A1" s="90" t="s">
        <v>28</v>
      </c>
      <c r="B1" s="292" t="s">
        <v>112</v>
      </c>
      <c r="F1" s="37" t="s">
        <v>68</v>
      </c>
    </row>
    <row r="2" spans="1:6" ht="19.5" customHeight="1" x14ac:dyDescent="0.25">
      <c r="A2" s="90"/>
      <c r="B2" s="292"/>
      <c r="C2" s="92" t="str">
        <f>Rahavood!N2</f>
        <v>1. aasta</v>
      </c>
      <c r="D2" s="92" t="str">
        <f>Rahavood!O2</f>
        <v>2.aasta</v>
      </c>
      <c r="E2" s="92" t="str">
        <f>Rahavood!P2</f>
        <v>3.aasta</v>
      </c>
      <c r="F2" s="92" t="str">
        <f>Rahavood!Q2</f>
        <v>4. aasta</v>
      </c>
    </row>
    <row r="3" spans="1:6" ht="17.25" customHeight="1" x14ac:dyDescent="0.25">
      <c r="A3" s="90"/>
      <c r="B3" s="188"/>
      <c r="F3" s="37"/>
    </row>
    <row r="4" spans="1:6" x14ac:dyDescent="0.25">
      <c r="A4" s="93" t="s">
        <v>32</v>
      </c>
      <c r="B4" s="189"/>
      <c r="C4" s="47"/>
      <c r="D4" s="47"/>
      <c r="E4" s="47"/>
      <c r="F4" s="47"/>
    </row>
    <row r="5" spans="1:6" x14ac:dyDescent="0.25">
      <c r="A5" s="94" t="s">
        <v>3</v>
      </c>
      <c r="B5" s="190"/>
      <c r="C5" s="134">
        <f>Rahavood!N7</f>
        <v>0</v>
      </c>
      <c r="D5" s="134">
        <f>Rahavood!O7</f>
        <v>0</v>
      </c>
      <c r="E5" s="134">
        <f>Rahavood!P7</f>
        <v>0</v>
      </c>
      <c r="F5" s="134">
        <f>Rahavood!Q7</f>
        <v>0</v>
      </c>
    </row>
    <row r="6" spans="1:6" x14ac:dyDescent="0.25">
      <c r="A6" s="95" t="s">
        <v>66</v>
      </c>
      <c r="B6" s="191"/>
      <c r="C6" s="134">
        <f>Rahavood!N9</f>
        <v>0</v>
      </c>
      <c r="D6" s="134">
        <f>Rahavood!O9</f>
        <v>0</v>
      </c>
      <c r="E6" s="134">
        <f>Rahavood!P9</f>
        <v>0</v>
      </c>
      <c r="F6" s="134">
        <f>Rahavood!Q9</f>
        <v>0</v>
      </c>
    </row>
    <row r="7" spans="1:6" x14ac:dyDescent="0.25">
      <c r="A7" s="95" t="s">
        <v>69</v>
      </c>
      <c r="B7" s="191"/>
      <c r="C7" s="175" t="str">
        <f>IF(C6&gt;0,C6/C5,"")</f>
        <v/>
      </c>
      <c r="D7" s="175" t="str">
        <f>IF(D6&gt;0,D6/D5,"")</f>
        <v/>
      </c>
      <c r="E7" s="175" t="str">
        <f>IF(E6&gt;0,E6/E5,"")</f>
        <v/>
      </c>
      <c r="F7" s="175" t="str">
        <f>IF(F6&gt;0,F6/F5,"")</f>
        <v/>
      </c>
    </row>
    <row r="8" spans="1:6" x14ac:dyDescent="0.25">
      <c r="A8" s="96" t="s">
        <v>24</v>
      </c>
      <c r="B8" s="191"/>
      <c r="C8" s="134">
        <f>Rahavood!N10</f>
        <v>0</v>
      </c>
      <c r="D8" s="134">
        <f>Rahavood!O10</f>
        <v>0</v>
      </c>
      <c r="E8" s="134">
        <f>Rahavood!P10</f>
        <v>0</v>
      </c>
      <c r="F8" s="134">
        <f>Rahavood!Q10</f>
        <v>0</v>
      </c>
    </row>
    <row r="9" spans="1:6" x14ac:dyDescent="0.25">
      <c r="A9" s="96" t="s">
        <v>25</v>
      </c>
      <c r="B9" s="191"/>
      <c r="C9" s="135">
        <f>IF(C5&gt;0,C5/C8,0)</f>
        <v>0</v>
      </c>
      <c r="D9" s="135">
        <f>IF(D5&gt;0,D5/D8,0)</f>
        <v>0</v>
      </c>
      <c r="E9" s="135">
        <f>IF(E5&gt;0,E5/E8,0)</f>
        <v>0</v>
      </c>
      <c r="F9" s="135">
        <f>IF(F5&gt;0,F5/F8,0)</f>
        <v>0</v>
      </c>
    </row>
    <row r="10" spans="1:6" x14ac:dyDescent="0.25">
      <c r="A10" s="94" t="s">
        <v>4</v>
      </c>
      <c r="B10" s="190"/>
      <c r="C10" s="134">
        <f>Rahavood!N18</f>
        <v>0</v>
      </c>
      <c r="D10" s="134">
        <f>Rahavood!O18</f>
        <v>0</v>
      </c>
      <c r="E10" s="134">
        <f>Rahavood!P18</f>
        <v>0</v>
      </c>
      <c r="F10" s="134" t="e">
        <f>Rahavood!Q18+Rahavood!#REF!</f>
        <v>#REF!</v>
      </c>
    </row>
    <row r="11" spans="1:6" x14ac:dyDescent="0.25">
      <c r="A11" s="97" t="s">
        <v>181</v>
      </c>
      <c r="B11" s="192">
        <f>B5+B10</f>
        <v>0</v>
      </c>
      <c r="C11" s="136">
        <f>C5+C10</f>
        <v>0</v>
      </c>
      <c r="D11" s="136">
        <f>D5+D10</f>
        <v>0</v>
      </c>
      <c r="E11" s="136">
        <f>E5+E10</f>
        <v>0</v>
      </c>
      <c r="F11" s="136" t="e">
        <f>F5+F10</f>
        <v>#REF!</v>
      </c>
    </row>
    <row r="12" spans="1:6" x14ac:dyDescent="0.25">
      <c r="A12" s="180" t="s">
        <v>109</v>
      </c>
      <c r="B12" s="193"/>
      <c r="C12" s="181">
        <f>Rahavood!N26</f>
        <v>0</v>
      </c>
      <c r="D12" s="181">
        <f>Rahavood!O26</f>
        <v>0</v>
      </c>
      <c r="E12" s="181">
        <f>Rahavood!P26</f>
        <v>0</v>
      </c>
      <c r="F12" s="181">
        <f>Rahavood!Q26</f>
        <v>0</v>
      </c>
    </row>
    <row r="13" spans="1:6" x14ac:dyDescent="0.25">
      <c r="A13" s="187" t="s">
        <v>113</v>
      </c>
      <c r="B13" s="193">
        <f>B5+B12</f>
        <v>0</v>
      </c>
      <c r="C13" s="182">
        <f>C5+C10+C12</f>
        <v>0</v>
      </c>
      <c r="D13" s="182">
        <f>D5+D10+D12</f>
        <v>0</v>
      </c>
      <c r="E13" s="182">
        <f>E5+E10+E12</f>
        <v>0</v>
      </c>
      <c r="F13" s="182" t="e">
        <f>F5+F10+F12</f>
        <v>#REF!</v>
      </c>
    </row>
    <row r="14" spans="1:6" ht="15" customHeight="1" x14ac:dyDescent="0.25">
      <c r="A14" s="98"/>
      <c r="B14" s="188"/>
      <c r="C14" s="119"/>
      <c r="D14" s="119"/>
      <c r="E14" s="119"/>
      <c r="F14" s="119"/>
    </row>
    <row r="15" spans="1:6" x14ac:dyDescent="0.25">
      <c r="A15" s="99"/>
      <c r="B15" s="194"/>
      <c r="C15" s="119"/>
      <c r="D15" s="119"/>
      <c r="E15" s="119"/>
      <c r="F15" s="119"/>
    </row>
    <row r="16" spans="1:6" x14ac:dyDescent="0.25">
      <c r="A16" s="100" t="s">
        <v>14</v>
      </c>
      <c r="B16" s="189"/>
      <c r="C16" s="120"/>
      <c r="D16" s="120"/>
      <c r="E16" s="120"/>
      <c r="F16" s="120"/>
    </row>
    <row r="17" spans="1:9" x14ac:dyDescent="0.25">
      <c r="A17" s="101" t="s">
        <v>15</v>
      </c>
      <c r="B17" s="188"/>
      <c r="C17" s="120"/>
      <c r="D17" s="120"/>
      <c r="E17" s="120"/>
      <c r="F17" s="120"/>
      <c r="I17" s="101"/>
    </row>
    <row r="18" spans="1:9" ht="15.75" customHeight="1" x14ac:dyDescent="0.25">
      <c r="A18" s="94" t="str">
        <f>Rahavood!A41</f>
        <v>Toore ja materjal</v>
      </c>
      <c r="B18" s="195"/>
      <c r="C18" s="137">
        <f>Tooted!R5</f>
        <v>0</v>
      </c>
      <c r="D18" s="137">
        <f>Tooted!S5</f>
        <v>0</v>
      </c>
      <c r="E18" s="137">
        <f>Tooted!T5</f>
        <v>0</v>
      </c>
      <c r="F18" s="137">
        <f>Tooted!U5</f>
        <v>0</v>
      </c>
    </row>
    <row r="19" spans="1:9" x14ac:dyDescent="0.25">
      <c r="A19" s="102" t="str">
        <f>Rahavood!A42</f>
        <v>Sisseostetud teenused ja/või alltöövõtt</v>
      </c>
      <c r="B19" s="196"/>
      <c r="C19" s="134">
        <f>Rahavood!N42</f>
        <v>0</v>
      </c>
      <c r="D19" s="134">
        <f>Rahavood!O42</f>
        <v>0</v>
      </c>
      <c r="E19" s="134">
        <f>Rahavood!P42</f>
        <v>0</v>
      </c>
      <c r="F19" s="134">
        <f>Rahavood!Q42</f>
        <v>0</v>
      </c>
    </row>
    <row r="20" spans="1:9" x14ac:dyDescent="0.25">
      <c r="A20" s="103"/>
      <c r="B20" s="197">
        <f>SUM(B18:B19)</f>
        <v>0</v>
      </c>
      <c r="C20" s="138">
        <f>SUM(C18:C19)</f>
        <v>0</v>
      </c>
      <c r="D20" s="138">
        <f>SUM(D18:D19)</f>
        <v>0</v>
      </c>
      <c r="E20" s="138">
        <f>SUM(E18:E19)</f>
        <v>0</v>
      </c>
      <c r="F20" s="138">
        <f>SUM(F18:F19)</f>
        <v>0</v>
      </c>
    </row>
    <row r="21" spans="1:9" x14ac:dyDescent="0.25">
      <c r="A21" s="260" t="s">
        <v>196</v>
      </c>
      <c r="B21" s="259"/>
      <c r="C21" s="134">
        <f>Rahavood!N43</f>
        <v>0</v>
      </c>
      <c r="D21" s="134">
        <f>Rahavood!O43</f>
        <v>0</v>
      </c>
      <c r="E21" s="134">
        <f>Rahavood!P43</f>
        <v>0</v>
      </c>
      <c r="F21" s="134">
        <f>Rahavood!Q43</f>
        <v>0</v>
      </c>
    </row>
    <row r="22" spans="1:9" x14ac:dyDescent="0.25">
      <c r="A22" s="103"/>
      <c r="B22" s="197">
        <f>SUM(B21:B21)</f>
        <v>0</v>
      </c>
      <c r="C22" s="138">
        <f>SUM(C21:C21)</f>
        <v>0</v>
      </c>
      <c r="D22" s="138">
        <f>SUM(D21:D21)</f>
        <v>0</v>
      </c>
      <c r="E22" s="138">
        <f>SUM(E21:E21)</f>
        <v>0</v>
      </c>
      <c r="F22" s="138">
        <f>SUM(F21:F21)</f>
        <v>0</v>
      </c>
    </row>
    <row r="23" spans="1:9" x14ac:dyDescent="0.25">
      <c r="A23" s="104" t="s">
        <v>17</v>
      </c>
      <c r="B23" s="188"/>
      <c r="C23" s="138"/>
      <c r="D23" s="138"/>
      <c r="E23" s="138"/>
      <c r="F23" s="138"/>
    </row>
    <row r="24" spans="1:9" x14ac:dyDescent="0.25">
      <c r="A24" s="105" t="s">
        <v>20</v>
      </c>
      <c r="B24" s="188"/>
      <c r="C24" s="138"/>
      <c r="D24" s="138"/>
      <c r="E24" s="138"/>
      <c r="F24" s="138"/>
    </row>
    <row r="25" spans="1:9" x14ac:dyDescent="0.25">
      <c r="A25" s="94" t="str">
        <f>Rahavood!A48</f>
        <v>Rent</v>
      </c>
      <c r="B25" s="190"/>
      <c r="C25" s="134">
        <f>Rahavood!N48</f>
        <v>0</v>
      </c>
      <c r="D25" s="134">
        <f>Rahavood!O48</f>
        <v>0</v>
      </c>
      <c r="E25" s="134">
        <f>Rahavood!P48</f>
        <v>0</v>
      </c>
      <c r="F25" s="134">
        <f>Rahavood!Q48</f>
        <v>0</v>
      </c>
    </row>
    <row r="26" spans="1:9" x14ac:dyDescent="0.25">
      <c r="A26" s="94" t="str">
        <f>Rahavood!A49</f>
        <v>Küte, vesi, elekter, jm. kulud</v>
      </c>
      <c r="B26" s="190"/>
      <c r="C26" s="134">
        <f>Rahavood!N49</f>
        <v>0</v>
      </c>
      <c r="D26" s="134">
        <f>Rahavood!O49</f>
        <v>0</v>
      </c>
      <c r="E26" s="134">
        <f>Rahavood!P49</f>
        <v>0</v>
      </c>
      <c r="F26" s="134">
        <f>Rahavood!Q49</f>
        <v>0</v>
      </c>
    </row>
    <row r="27" spans="1:9" x14ac:dyDescent="0.25">
      <c r="A27" s="94" t="str">
        <f>Rahavood!A50</f>
        <v>Muud ruumide ülalpidamisega seotud kulud</v>
      </c>
      <c r="B27" s="190"/>
      <c r="C27" s="134">
        <f>Rahavood!N50</f>
        <v>0</v>
      </c>
      <c r="D27" s="134">
        <f>Rahavood!O50</f>
        <v>0</v>
      </c>
      <c r="E27" s="134">
        <f>Rahavood!P50</f>
        <v>0</v>
      </c>
      <c r="F27" s="134">
        <f>Rahavood!Q50</f>
        <v>0</v>
      </c>
    </row>
    <row r="28" spans="1:9" x14ac:dyDescent="0.25">
      <c r="A28" s="105" t="s">
        <v>16</v>
      </c>
      <c r="B28" s="188"/>
      <c r="C28" s="138"/>
      <c r="D28" s="138"/>
      <c r="E28" s="138"/>
      <c r="F28" s="138"/>
    </row>
    <row r="29" spans="1:9" x14ac:dyDescent="0.25">
      <c r="A29" s="94" t="str">
        <f>Rahavood!A52</f>
        <v>Kütus/autokompensatsioon</v>
      </c>
      <c r="B29" s="190"/>
      <c r="C29" s="134">
        <f>Rahavood!N52</f>
        <v>0</v>
      </c>
      <c r="D29" s="134">
        <f>Rahavood!O52</f>
        <v>0</v>
      </c>
      <c r="E29" s="134">
        <f>Rahavood!P52</f>
        <v>0</v>
      </c>
      <c r="F29" s="134">
        <f>Rahavood!Q52</f>
        <v>0</v>
      </c>
    </row>
    <row r="30" spans="1:9" x14ac:dyDescent="0.25">
      <c r="A30" s="94" t="str">
        <f>Rahavood!A53</f>
        <v>Muud sõidukiga seotud kulud</v>
      </c>
      <c r="B30" s="198"/>
      <c r="C30" s="139">
        <f>Rahavood!N53</f>
        <v>0</v>
      </c>
      <c r="D30" s="139">
        <f>Rahavood!O53</f>
        <v>0</v>
      </c>
      <c r="E30" s="139">
        <f>Rahavood!P53</f>
        <v>0</v>
      </c>
      <c r="F30" s="139">
        <f>Rahavood!Q53</f>
        <v>0</v>
      </c>
    </row>
    <row r="31" spans="1:9" x14ac:dyDescent="0.25">
      <c r="A31" s="237" t="str">
        <f>Rahavood!A54</f>
        <v>Infotehnoloogiaga seotud kulud</v>
      </c>
      <c r="B31" s="190"/>
      <c r="C31" s="134">
        <f>Rahavood!N54</f>
        <v>0</v>
      </c>
      <c r="D31" s="134">
        <f>Rahavood!O54</f>
        <v>0</v>
      </c>
      <c r="E31" s="134">
        <f>Rahavood!P54</f>
        <v>0</v>
      </c>
      <c r="F31" s="134">
        <f>Rahavood!Q54</f>
        <v>0</v>
      </c>
    </row>
    <row r="32" spans="1:9" x14ac:dyDescent="0.25">
      <c r="A32" s="236" t="str">
        <f>Rahavood!A55</f>
        <v>Muud kulud (vahendustasu, pangateenuste kulu, raamatupidamine jm)</v>
      </c>
      <c r="B32" s="190"/>
      <c r="C32" s="134">
        <f>Rahavood!N55</f>
        <v>0</v>
      </c>
      <c r="D32" s="134">
        <f>Rahavood!O55</f>
        <v>0</v>
      </c>
      <c r="E32" s="134">
        <f>Rahavood!P55</f>
        <v>0</v>
      </c>
      <c r="F32" s="134">
        <f>Rahavood!Q55</f>
        <v>0</v>
      </c>
    </row>
    <row r="33" spans="1:6" x14ac:dyDescent="0.25">
      <c r="A33" s="105" t="s">
        <v>19</v>
      </c>
      <c r="B33" s="188"/>
      <c r="C33" s="138"/>
      <c r="D33" s="138"/>
      <c r="E33" s="138"/>
      <c r="F33" s="138"/>
    </row>
    <row r="34" spans="1:6" x14ac:dyDescent="0.25">
      <c r="A34" s="94" t="str">
        <f>Rahavood!A57</f>
        <v xml:space="preserve">Brutopalk </v>
      </c>
      <c r="B34" s="190"/>
      <c r="C34" s="134">
        <f>Rahavood!N57</f>
        <v>0</v>
      </c>
      <c r="D34" s="134">
        <f>Rahavood!O57</f>
        <v>0</v>
      </c>
      <c r="E34" s="134">
        <f>Rahavood!P57</f>
        <v>0</v>
      </c>
      <c r="F34" s="134">
        <f>Rahavood!Q57</f>
        <v>0</v>
      </c>
    </row>
    <row r="35" spans="1:6" x14ac:dyDescent="0.25">
      <c r="A35" s="94" t="str">
        <f>Rahavood!A58</f>
        <v xml:space="preserve">Sotsiaalmaks </v>
      </c>
      <c r="B35" s="198"/>
      <c r="C35" s="139">
        <f>Rahavood!N58</f>
        <v>0</v>
      </c>
      <c r="D35" s="139">
        <f>Rahavood!O58</f>
        <v>0</v>
      </c>
      <c r="E35" s="139">
        <f>Rahavood!P58</f>
        <v>0</v>
      </c>
      <c r="F35" s="139">
        <f>Rahavood!Q58</f>
        <v>0</v>
      </c>
    </row>
    <row r="36" spans="1:6" x14ac:dyDescent="0.25">
      <c r="A36" s="94" t="str">
        <f>Rahavood!A59</f>
        <v>Töötuskindlustusmaks</v>
      </c>
      <c r="B36" s="195"/>
      <c r="C36" s="137">
        <f>Rahavood!N59</f>
        <v>0</v>
      </c>
      <c r="D36" s="137">
        <f>Rahavood!O59</f>
        <v>0</v>
      </c>
      <c r="E36" s="137">
        <f>Rahavood!P59</f>
        <v>0</v>
      </c>
      <c r="F36" s="137">
        <f>Rahavood!Q59</f>
        <v>0</v>
      </c>
    </row>
    <row r="37" spans="1:6" x14ac:dyDescent="0.25">
      <c r="A37" s="106" t="s">
        <v>128</v>
      </c>
      <c r="B37" s="199">
        <f>SUM(B34:B36)</f>
        <v>0</v>
      </c>
      <c r="C37" s="140">
        <f>SUM(C34:C36)</f>
        <v>0</v>
      </c>
      <c r="D37" s="140">
        <f>SUM(D34:D36)</f>
        <v>0</v>
      </c>
      <c r="E37" s="140">
        <f>SUM(E34:E36)</f>
        <v>0</v>
      </c>
      <c r="F37" s="140">
        <f>SUM(F34:F36)</f>
        <v>0</v>
      </c>
    </row>
    <row r="38" spans="1:6" x14ac:dyDescent="0.25">
      <c r="A38" s="94" t="str">
        <f>Rahavood!A60</f>
        <v>Koolituskulud</v>
      </c>
      <c r="B38" s="190"/>
      <c r="C38" s="134">
        <f>Rahavood!N60</f>
        <v>0</v>
      </c>
      <c r="D38" s="134">
        <f>Rahavood!O60</f>
        <v>0</v>
      </c>
      <c r="E38" s="134">
        <f>Rahavood!P60</f>
        <v>0</v>
      </c>
      <c r="F38" s="134">
        <f>Rahavood!Q60</f>
        <v>0</v>
      </c>
    </row>
    <row r="39" spans="1:6" x14ac:dyDescent="0.25">
      <c r="A39" s="101" t="s">
        <v>21</v>
      </c>
      <c r="B39" s="188"/>
      <c r="C39" s="138"/>
      <c r="D39" s="138"/>
      <c r="E39" s="138"/>
      <c r="F39" s="138"/>
    </row>
    <row r="40" spans="1:6" x14ac:dyDescent="0.25">
      <c r="A40" s="94" t="str">
        <f>Rahavood!A62</f>
        <v>Muud maksud (riigilõivud jms)</v>
      </c>
      <c r="B40" s="190"/>
      <c r="C40" s="134">
        <f>Rahavood!N62</f>
        <v>0</v>
      </c>
      <c r="D40" s="134">
        <f>Rahavood!O62</f>
        <v>0</v>
      </c>
      <c r="E40" s="134">
        <f>Rahavood!P62</f>
        <v>0</v>
      </c>
      <c r="F40" s="134">
        <f>Rahavood!Q62</f>
        <v>0</v>
      </c>
    </row>
    <row r="41" spans="1:6" x14ac:dyDescent="0.25">
      <c r="A41" s="104" t="s">
        <v>30</v>
      </c>
      <c r="B41" s="188"/>
      <c r="C41" s="138"/>
      <c r="D41" s="138"/>
      <c r="E41" s="138"/>
      <c r="F41" s="138"/>
    </row>
    <row r="42" spans="1:6" x14ac:dyDescent="0.25">
      <c r="A42" s="94" t="s">
        <v>161</v>
      </c>
      <c r="B42" s="190"/>
      <c r="C42" s="134">
        <f>Rahavood!N83</f>
        <v>0</v>
      </c>
      <c r="D42" s="134">
        <f>Rahavood!O83</f>
        <v>0</v>
      </c>
      <c r="E42" s="134">
        <f>Rahavood!P83</f>
        <v>0</v>
      </c>
      <c r="F42" s="134">
        <f>Rahavood!Q83</f>
        <v>0</v>
      </c>
    </row>
    <row r="43" spans="1:6" x14ac:dyDescent="0.25">
      <c r="A43" s="94" t="s">
        <v>168</v>
      </c>
      <c r="B43" s="190"/>
      <c r="C43" s="134">
        <f>Rahavood!N84</f>
        <v>0</v>
      </c>
      <c r="D43" s="134">
        <f>Rahavood!O84</f>
        <v>0</v>
      </c>
      <c r="E43" s="134">
        <f>Rahavood!P84</f>
        <v>0</v>
      </c>
      <c r="F43" s="134">
        <f>Rahavood!Q84</f>
        <v>0</v>
      </c>
    </row>
    <row r="44" spans="1:6" x14ac:dyDescent="0.25">
      <c r="A44" s="103"/>
      <c r="B44" s="194"/>
      <c r="C44" s="138">
        <f>SUM(C42:C43)</f>
        <v>0</v>
      </c>
      <c r="D44" s="138">
        <f>SUM(D42:D43)</f>
        <v>0</v>
      </c>
      <c r="E44" s="138">
        <f>SUM(E42:E43)</f>
        <v>0</v>
      </c>
      <c r="F44" s="138">
        <f>SUM(F42:F43)</f>
        <v>0</v>
      </c>
    </row>
    <row r="45" spans="1:6" x14ac:dyDescent="0.25">
      <c r="A45" s="107" t="s">
        <v>29</v>
      </c>
      <c r="B45" s="192">
        <f>SUM(B18:B43)-B20-B22-B37</f>
        <v>0</v>
      </c>
      <c r="C45" s="136">
        <f>SUM(C18:C43)-C20-C22-C37</f>
        <v>0</v>
      </c>
      <c r="D45" s="136">
        <f>SUM(D18:D43)-D20-D22-D37</f>
        <v>0</v>
      </c>
      <c r="E45" s="136">
        <f>SUM(E18:E43)-E20-E22-E37</f>
        <v>0</v>
      </c>
      <c r="F45" s="136">
        <f>SUM(F18:F43)-F20-F22-F37</f>
        <v>0</v>
      </c>
    </row>
    <row r="46" spans="1:6" x14ac:dyDescent="0.25">
      <c r="A46" s="267"/>
      <c r="B46" s="268"/>
      <c r="C46" s="269"/>
      <c r="D46" s="269"/>
      <c r="E46" s="269"/>
      <c r="F46" s="141">
        <f>SUM(F25:F32)+SUM(F38:F40)</f>
        <v>0</v>
      </c>
    </row>
    <row r="47" spans="1:6" x14ac:dyDescent="0.25">
      <c r="A47" s="90" t="s">
        <v>33</v>
      </c>
      <c r="B47" s="188"/>
      <c r="C47" s="142"/>
      <c r="D47" s="142"/>
      <c r="E47" s="142"/>
      <c r="F47" s="142"/>
    </row>
    <row r="48" spans="1:6" x14ac:dyDescent="0.25">
      <c r="A48" s="239" t="s">
        <v>166</v>
      </c>
      <c r="B48" s="200"/>
      <c r="C48" s="136">
        <f>Rahavood!N67</f>
        <v>0</v>
      </c>
      <c r="D48" s="136">
        <f>Rahavood!O67</f>
        <v>0</v>
      </c>
      <c r="E48" s="136">
        <f>Rahavood!P67</f>
        <v>0</v>
      </c>
      <c r="F48" s="136">
        <f>Rahavood!Q67</f>
        <v>0</v>
      </c>
    </row>
    <row r="49" spans="1:6" x14ac:dyDescent="0.25">
      <c r="A49" s="90"/>
      <c r="B49" s="188"/>
      <c r="C49" s="142"/>
      <c r="D49" s="142"/>
      <c r="E49" s="142"/>
      <c r="F49" s="142"/>
    </row>
    <row r="50" spans="1:6" x14ac:dyDescent="0.25">
      <c r="A50" s="184" t="s">
        <v>111</v>
      </c>
      <c r="B50" s="201">
        <f>B11-B45</f>
        <v>0</v>
      </c>
      <c r="C50" s="182">
        <f>C13-C45</f>
        <v>0</v>
      </c>
      <c r="D50" s="182">
        <f>D13-D45</f>
        <v>0</v>
      </c>
      <c r="E50" s="182">
        <f>E13-E45</f>
        <v>0</v>
      </c>
      <c r="F50" s="182" t="e">
        <f>F13-F45</f>
        <v>#REF!</v>
      </c>
    </row>
    <row r="51" spans="1:6" x14ac:dyDescent="0.25">
      <c r="A51" s="107" t="s">
        <v>31</v>
      </c>
      <c r="B51" s="201">
        <f>B11-B45-B48</f>
        <v>0</v>
      </c>
      <c r="C51" s="182">
        <f>C13-C45-C48</f>
        <v>0</v>
      </c>
      <c r="D51" s="182">
        <f>D13-D45-D48</f>
        <v>0</v>
      </c>
      <c r="E51" s="182">
        <f>E13-E45-E48</f>
        <v>0</v>
      </c>
      <c r="F51" s="182" t="e">
        <f>F13-F45-F48</f>
        <v>#REF!</v>
      </c>
    </row>
    <row r="52" spans="1:6" x14ac:dyDescent="0.25">
      <c r="A52" s="108" t="s">
        <v>100</v>
      </c>
      <c r="B52" s="202" t="e">
        <f>ROUND(Töötajad!B15,2)</f>
        <v>#DIV/0!</v>
      </c>
      <c r="C52" s="121" t="e">
        <f>ROUND(Töötajad!C15,2)</f>
        <v>#DIV/0!</v>
      </c>
      <c r="D52" s="121" t="e">
        <f>ROUND(Töötajad!D15,2)</f>
        <v>#DIV/0!</v>
      </c>
      <c r="E52" s="121" t="e">
        <f>ROUND(Töötajad!E15,2)</f>
        <v>#DIV/0!</v>
      </c>
      <c r="F52" s="121" t="e">
        <f>ROUND(Töötajad!F15,2)</f>
        <v>#DIV/0!</v>
      </c>
    </row>
    <row r="53" spans="1:6" x14ac:dyDescent="0.25">
      <c r="A53" s="37" t="s">
        <v>99</v>
      </c>
      <c r="B53" s="204" t="e">
        <f>IF(B52&gt;0,(B51+#REF!+B43+B42+B37)/B52,"")</f>
        <v>#DIV/0!</v>
      </c>
      <c r="C53" s="121" t="e">
        <f>IF(C52&gt;0,(C51+C43+C42+C37)/C52,"")</f>
        <v>#DIV/0!</v>
      </c>
      <c r="D53" s="121" t="e">
        <f t="shared" ref="D53:E53" si="0">IF(D52&gt;0,(D51+D43+D42+D37)/D52,"")</f>
        <v>#DIV/0!</v>
      </c>
      <c r="E53" s="121" t="e">
        <f t="shared" si="0"/>
        <v>#DIV/0!</v>
      </c>
      <c r="F53" s="164" t="e">
        <f>IF(F52&gt;0,(F51+#REF!+F43+F42+F37)/F52,"")</f>
        <v>#DIV/0!</v>
      </c>
    </row>
    <row r="54" spans="1:6" x14ac:dyDescent="0.25">
      <c r="A54" s="37" t="s">
        <v>98</v>
      </c>
      <c r="B54" s="205" t="str">
        <f>IF(B11&gt;0,B51/B11,"")</f>
        <v/>
      </c>
      <c r="C54" s="206" t="str">
        <f>IF(C11&gt;0,C51/C11,"")</f>
        <v/>
      </c>
      <c r="D54" s="206" t="str">
        <f>IF(D11&gt;0,D51/D11,"")</f>
        <v/>
      </c>
      <c r="E54" s="206" t="str">
        <f>IF(E11&gt;0,E51/E11,"")</f>
        <v/>
      </c>
      <c r="F54" s="206" t="e">
        <f>IF(F11&gt;0,F51/F11,"")</f>
        <v>#REF!</v>
      </c>
    </row>
  </sheetData>
  <sheetProtection algorithmName="SHA-512" hashValue="SYGnqjUv9h2AeDVUbQpmAKLyfdjI28GAZI6eDLR66MgAYfQ56jqfo0KeFaxMQOztgFHaKFcpXNFGGFDdjEgCFQ==" saltValue="jW+t0XYnS/3FFjBq5WXgpw==" spinCount="100000" sheet="1" objects="1" scenarios="1"/>
  <mergeCells count="1">
    <mergeCell ref="B1:B2"/>
  </mergeCells>
  <phoneticPr fontId="2" type="noConversion"/>
  <conditionalFormatting sqref="B50:F52">
    <cfRule type="cellIs" dxfId="1" priority="3" stopIfTrue="1" operator="lessThan">
      <formula>0</formula>
    </cfRule>
  </conditionalFormatting>
  <conditionalFormatting sqref="C53:E53">
    <cfRule type="cellIs" dxfId="0" priority="1" stopIfTrue="1" operator="lessThan">
      <formula>0</formula>
    </cfRule>
  </conditionalFormatting>
  <pageMargins left="0.59055118110236227" right="0.74803149606299213" top="0.39370078740157483" bottom="0.19685039370078741" header="0" footer="0"/>
  <pageSetup paperSize="9" scale="8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eht5">
    <pageSetUpPr fitToPage="1"/>
  </sheetPr>
  <dimension ref="A1:P47"/>
  <sheetViews>
    <sheetView zoomScaleNormal="100" workbookViewId="0">
      <selection activeCell="G7" sqref="G7"/>
    </sheetView>
  </sheetViews>
  <sheetFormatPr defaultColWidth="9.109375" defaultRowHeight="13.2" x14ac:dyDescent="0.25"/>
  <cols>
    <col min="1" max="1" width="42.33203125" style="112" customWidth="1"/>
    <col min="2" max="2" width="11.33203125" style="242" hidden="1" customWidth="1"/>
    <col min="3" max="5" width="10.88671875" style="112" customWidth="1"/>
    <col min="6" max="6" width="10.88671875" style="112" hidden="1" customWidth="1"/>
    <col min="7" max="16384" width="9.109375" style="112"/>
  </cols>
  <sheetData>
    <row r="1" spans="1:16" ht="26.4" x14ac:dyDescent="0.25">
      <c r="A1" s="110" t="s">
        <v>35</v>
      </c>
      <c r="B1" s="240" t="s">
        <v>94</v>
      </c>
      <c r="C1" s="111"/>
      <c r="D1" s="111"/>
      <c r="E1" s="111"/>
      <c r="F1" s="111"/>
    </row>
    <row r="2" spans="1:16" x14ac:dyDescent="0.25">
      <c r="A2" s="110"/>
      <c r="B2" s="241" t="s">
        <v>114</v>
      </c>
      <c r="C2" s="272" t="str">
        <f>Rahavood!N2</f>
        <v>1. aasta</v>
      </c>
      <c r="D2" s="273" t="str">
        <f>Rahavood!O2</f>
        <v>2.aasta</v>
      </c>
      <c r="E2" s="273" t="str">
        <f>Rahavood!P2</f>
        <v>3.aasta</v>
      </c>
      <c r="F2" s="113" t="str">
        <f>Rahavood!Q2</f>
        <v>4. aasta</v>
      </c>
    </row>
    <row r="3" spans="1:16" x14ac:dyDescent="0.25">
      <c r="A3" s="114"/>
      <c r="C3" s="115"/>
      <c r="D3" s="115"/>
      <c r="E3" s="115"/>
      <c r="F3" s="115"/>
    </row>
    <row r="4" spans="1:16" x14ac:dyDescent="0.25">
      <c r="A4" s="110" t="s">
        <v>36</v>
      </c>
      <c r="B4" s="243"/>
      <c r="C4" s="115"/>
      <c r="D4" s="115"/>
      <c r="E4" s="115"/>
      <c r="F4" s="115"/>
    </row>
    <row r="5" spans="1:16" x14ac:dyDescent="0.25">
      <c r="A5" s="110"/>
      <c r="B5" s="243"/>
      <c r="C5" s="115"/>
      <c r="D5" s="115"/>
      <c r="E5" s="115"/>
      <c r="F5" s="115"/>
    </row>
    <row r="6" spans="1:16" x14ac:dyDescent="0.25">
      <c r="A6" s="123" t="s">
        <v>37</v>
      </c>
      <c r="B6" s="244"/>
      <c r="C6" s="143">
        <f>Rahavood!N72</f>
        <v>0</v>
      </c>
      <c r="D6" s="143">
        <f>Rahavood!O72</f>
        <v>0</v>
      </c>
      <c r="E6" s="143">
        <f>Rahavood!P72</f>
        <v>0</v>
      </c>
      <c r="F6" s="143">
        <f>Rahavood!Q72</f>
        <v>0</v>
      </c>
      <c r="P6" s="185"/>
    </row>
    <row r="7" spans="1:16" x14ac:dyDescent="0.25">
      <c r="A7" s="123" t="s">
        <v>38</v>
      </c>
      <c r="B7" s="244"/>
      <c r="C7" s="143">
        <f>Kasumiaruanne!C5-Rahavood!N14</f>
        <v>0</v>
      </c>
      <c r="D7" s="143">
        <f>C7+Kasumiaruanne!D5-Rahavood!O14</f>
        <v>0</v>
      </c>
      <c r="E7" s="143">
        <f>D7+Kasumiaruanne!E5-Rahavood!P14</f>
        <v>0</v>
      </c>
      <c r="F7" s="143">
        <f>E7+Kasumiaruanne!F5-Rahavood!Q14</f>
        <v>0</v>
      </c>
    </row>
    <row r="8" spans="1:16" x14ac:dyDescent="0.25">
      <c r="A8" s="123" t="s">
        <v>39</v>
      </c>
      <c r="B8" s="244"/>
      <c r="C8" s="144"/>
      <c r="D8" s="144"/>
      <c r="E8" s="144"/>
      <c r="F8" s="144"/>
    </row>
    <row r="9" spans="1:16" x14ac:dyDescent="0.25">
      <c r="A9" s="123" t="s">
        <v>40</v>
      </c>
      <c r="B9" s="244"/>
      <c r="C9" s="144"/>
      <c r="D9" s="144"/>
      <c r="E9" s="144"/>
      <c r="F9" s="144"/>
    </row>
    <row r="10" spans="1:16" x14ac:dyDescent="0.25">
      <c r="A10" s="256" t="s">
        <v>176</v>
      </c>
      <c r="B10" s="244"/>
      <c r="C10" s="143">
        <f>Rahavood!N41-Kasumiaruanne!C18</f>
        <v>0</v>
      </c>
      <c r="D10" s="143">
        <f>C10+Rahavood!O41-Tooted!S5</f>
        <v>0</v>
      </c>
      <c r="E10" s="143">
        <f>D10+Rahavood!P41-Tooted!T5</f>
        <v>0</v>
      </c>
      <c r="F10" s="143">
        <f>E10+Rahavood!Q41-Tooted!U5</f>
        <v>0</v>
      </c>
    </row>
    <row r="11" spans="1:16" x14ac:dyDescent="0.25">
      <c r="A11" s="123" t="s">
        <v>41</v>
      </c>
      <c r="B11" s="244"/>
      <c r="C11" s="144"/>
      <c r="D11" s="144"/>
      <c r="E11" s="144"/>
      <c r="F11" s="144"/>
    </row>
    <row r="12" spans="1:16" x14ac:dyDescent="0.25">
      <c r="A12" s="124" t="s">
        <v>42</v>
      </c>
      <c r="B12" s="245">
        <f>SUM(B6:B11)</f>
        <v>0</v>
      </c>
      <c r="C12" s="145">
        <f>SUM(C6:C11)</f>
        <v>0</v>
      </c>
      <c r="D12" s="145">
        <f>SUM(D6:D11)</f>
        <v>0</v>
      </c>
      <c r="E12" s="145">
        <f>SUM(E6:E11)</f>
        <v>0</v>
      </c>
      <c r="F12" s="145">
        <f>SUM(F6:F11)</f>
        <v>0</v>
      </c>
    </row>
    <row r="13" spans="1:16" x14ac:dyDescent="0.25">
      <c r="A13" s="125"/>
      <c r="B13" s="246"/>
      <c r="C13" s="126"/>
      <c r="D13" s="126"/>
      <c r="E13" s="126"/>
      <c r="F13" s="126"/>
    </row>
    <row r="14" spans="1:16" x14ac:dyDescent="0.25">
      <c r="A14" s="124" t="s">
        <v>169</v>
      </c>
      <c r="B14" s="124"/>
      <c r="C14" s="124"/>
      <c r="D14" s="124"/>
      <c r="E14" s="124"/>
      <c r="F14" s="124"/>
    </row>
    <row r="15" spans="1:16" x14ac:dyDescent="0.25">
      <c r="A15" s="256" t="s">
        <v>170</v>
      </c>
      <c r="B15" s="244"/>
      <c r="C15" s="143">
        <f>B15+Rahavood!N79</f>
        <v>0</v>
      </c>
      <c r="D15" s="143">
        <f>B15+Rahavood!O79</f>
        <v>0</v>
      </c>
      <c r="E15" s="143">
        <f>B15+Rahavood!P79</f>
        <v>0</v>
      </c>
      <c r="F15" s="143">
        <f>B15+Rahavood!Q79</f>
        <v>0</v>
      </c>
    </row>
    <row r="16" spans="1:16" x14ac:dyDescent="0.25">
      <c r="A16" s="256" t="s">
        <v>171</v>
      </c>
      <c r="B16" s="244"/>
      <c r="C16" s="143">
        <f>B16+Rahavood!N81</f>
        <v>0</v>
      </c>
      <c r="D16" s="143">
        <f>B16+Rahavood!O81</f>
        <v>0</v>
      </c>
      <c r="E16" s="143">
        <f>B16+Rahavood!P81</f>
        <v>0</v>
      </c>
      <c r="F16" s="143">
        <f>B16+Rahavood!Q81</f>
        <v>0</v>
      </c>
    </row>
    <row r="17" spans="1:6" x14ac:dyDescent="0.25">
      <c r="A17" s="123" t="s">
        <v>70</v>
      </c>
      <c r="B17" s="244"/>
      <c r="C17" s="143">
        <f>B17-Rahavood!N83-Rahavood!N84</f>
        <v>0</v>
      </c>
      <c r="D17" s="143">
        <f>C17-Rahavood!O83-Rahavood!O84</f>
        <v>0</v>
      </c>
      <c r="E17" s="143">
        <f>D17-Rahavood!P83-Rahavood!P84</f>
        <v>0</v>
      </c>
      <c r="F17" s="143">
        <f>E17-Rahavood!Q83-Rahavood!Q84</f>
        <v>0</v>
      </c>
    </row>
    <row r="18" spans="1:6" x14ac:dyDescent="0.25">
      <c r="A18" s="124" t="s">
        <v>43</v>
      </c>
      <c r="B18" s="124"/>
      <c r="C18" s="124"/>
      <c r="D18" s="124"/>
      <c r="E18" s="124"/>
      <c r="F18" s="124"/>
    </row>
    <row r="19" spans="1:6" x14ac:dyDescent="0.25">
      <c r="A19" s="257" t="s">
        <v>43</v>
      </c>
      <c r="B19" s="247"/>
      <c r="C19" s="143">
        <f>$B$19+Rahavood!N80+Rahavood!N82</f>
        <v>0</v>
      </c>
      <c r="D19" s="143">
        <f>$B$19+Rahavood!O80+Rahavood!O82</f>
        <v>0</v>
      </c>
      <c r="E19" s="143">
        <f>$B$19+Rahavood!P80+Rahavood!P82</f>
        <v>0</v>
      </c>
      <c r="F19" s="146">
        <f>$B$19+Rahavood!Q80+Rahavood!Q82</f>
        <v>0</v>
      </c>
    </row>
    <row r="20" spans="1:6" x14ac:dyDescent="0.25">
      <c r="A20" s="123" t="s">
        <v>70</v>
      </c>
      <c r="B20" s="247"/>
      <c r="C20" s="143">
        <f>-Rahavood!N85-Rahavood!N86+B20</f>
        <v>0</v>
      </c>
      <c r="D20" s="143">
        <f>-Rahavood!O85-Rahavood!O86+C20</f>
        <v>0</v>
      </c>
      <c r="E20" s="143">
        <f>-Rahavood!P85-Rahavood!P86+D20</f>
        <v>0</v>
      </c>
      <c r="F20" s="146" t="e">
        <f>-Rahavood!Q85-Rahavood!Q86-Rahavood!Q90+E20</f>
        <v>#REF!</v>
      </c>
    </row>
    <row r="21" spans="1:6" x14ac:dyDescent="0.25">
      <c r="A21" s="124" t="s">
        <v>44</v>
      </c>
      <c r="B21" s="245">
        <f>SUM(B15:B20)</f>
        <v>0</v>
      </c>
      <c r="C21" s="145">
        <f>SUM(C15:C20)</f>
        <v>0</v>
      </c>
      <c r="D21" s="145">
        <f>SUM(D15:D20)</f>
        <v>0</v>
      </c>
      <c r="E21" s="145">
        <f>SUM(E15:E20)</f>
        <v>0</v>
      </c>
      <c r="F21" s="145" t="e">
        <f>SUM(F15:F20)</f>
        <v>#REF!</v>
      </c>
    </row>
    <row r="22" spans="1:6" x14ac:dyDescent="0.25">
      <c r="A22" s="127"/>
      <c r="B22" s="248"/>
      <c r="C22" s="147"/>
      <c r="D22" s="147"/>
      <c r="E22" s="147"/>
      <c r="F22" s="147"/>
    </row>
    <row r="23" spans="1:6" x14ac:dyDescent="0.25">
      <c r="A23" s="125" t="s">
        <v>45</v>
      </c>
      <c r="B23" s="249">
        <f>B12+B21</f>
        <v>0</v>
      </c>
      <c r="C23" s="148">
        <f>C12+C21</f>
        <v>0</v>
      </c>
      <c r="D23" s="148">
        <f>D12+D21</f>
        <v>0</v>
      </c>
      <c r="E23" s="148">
        <f>E12+E21</f>
        <v>0</v>
      </c>
      <c r="F23" s="148" t="e">
        <f>F12+F21</f>
        <v>#REF!</v>
      </c>
    </row>
    <row r="24" spans="1:6" x14ac:dyDescent="0.25">
      <c r="A24" s="125"/>
      <c r="B24" s="246"/>
      <c r="C24" s="128"/>
      <c r="D24" s="128"/>
      <c r="E24" s="128"/>
      <c r="F24" s="128"/>
    </row>
    <row r="25" spans="1:6" x14ac:dyDescent="0.25">
      <c r="A25" s="125"/>
      <c r="B25" s="246"/>
      <c r="C25" s="128"/>
      <c r="D25" s="128"/>
      <c r="E25" s="128"/>
      <c r="F25" s="128"/>
    </row>
    <row r="26" spans="1:6" x14ac:dyDescent="0.25">
      <c r="A26" s="127"/>
      <c r="B26" s="250"/>
      <c r="C26" s="126"/>
      <c r="D26" s="126"/>
      <c r="E26" s="126"/>
      <c r="F26" s="126"/>
    </row>
    <row r="27" spans="1:6" x14ac:dyDescent="0.25">
      <c r="A27" s="125" t="s">
        <v>46</v>
      </c>
      <c r="B27" s="246"/>
      <c r="C27" s="126"/>
      <c r="D27" s="126"/>
      <c r="E27" s="126"/>
      <c r="F27" s="126"/>
    </row>
    <row r="28" spans="1:6" x14ac:dyDescent="0.25">
      <c r="A28" s="129"/>
      <c r="B28" s="251"/>
      <c r="C28" s="126"/>
      <c r="D28" s="126"/>
      <c r="E28" s="126"/>
      <c r="F28" s="126"/>
    </row>
    <row r="29" spans="1:6" x14ac:dyDescent="0.25">
      <c r="A29" s="256" t="s">
        <v>173</v>
      </c>
      <c r="B29" s="244">
        <v>0</v>
      </c>
      <c r="C29" s="143">
        <f>IF(Rahavood!N65="Viga, kliki siin!",B29,(B29+Rahavood!N22-Rahavood!N66))</f>
        <v>0</v>
      </c>
      <c r="D29" s="143">
        <f>C29+Rahavood!C22-Rahavood!C66</f>
        <v>0</v>
      </c>
      <c r="E29" s="143">
        <f>D29+Rahavood!D22-Rahavood!D66</f>
        <v>0</v>
      </c>
      <c r="F29" s="143" t="e">
        <f>E29+Rahavood!#REF!-Rahavood!#REF!</f>
        <v>#REF!</v>
      </c>
    </row>
    <row r="30" spans="1:6" x14ac:dyDescent="0.25">
      <c r="A30" s="256" t="s">
        <v>177</v>
      </c>
      <c r="B30" s="244"/>
      <c r="C30" s="143">
        <f>IF(Rahavood!O65&gt;0,Rahavood!O65,0)</f>
        <v>0</v>
      </c>
      <c r="D30" s="143">
        <f>IF(Rahavood!P65&gt;0,Rahavood!P65,0)</f>
        <v>0</v>
      </c>
      <c r="E30" s="143">
        <f>IF(Rahavood!Q65&gt;0,Rahavood!Q65,0)</f>
        <v>0</v>
      </c>
      <c r="F30" s="143">
        <f>IF(Rahavood!R65&gt;0,Rahavood!R65,0)</f>
        <v>0</v>
      </c>
    </row>
    <row r="31" spans="1:6" x14ac:dyDescent="0.25">
      <c r="A31" s="256" t="s">
        <v>180</v>
      </c>
      <c r="B31" s="244"/>
      <c r="C31" s="144"/>
      <c r="D31" s="144"/>
      <c r="E31" s="144"/>
      <c r="F31" s="144"/>
    </row>
    <row r="32" spans="1:6" x14ac:dyDescent="0.25">
      <c r="A32" s="123" t="s">
        <v>47</v>
      </c>
      <c r="B32" s="244"/>
      <c r="C32" s="144"/>
      <c r="D32" s="144"/>
      <c r="E32" s="144"/>
      <c r="F32" s="144"/>
    </row>
    <row r="33" spans="1:6" x14ac:dyDescent="0.25">
      <c r="A33" s="123" t="s">
        <v>48</v>
      </c>
      <c r="B33" s="244"/>
      <c r="C33" s="144"/>
      <c r="D33" s="144"/>
      <c r="E33" s="144"/>
      <c r="F33" s="144"/>
    </row>
    <row r="34" spans="1:6" x14ac:dyDescent="0.25">
      <c r="A34" s="123" t="s">
        <v>49</v>
      </c>
      <c r="B34" s="244"/>
      <c r="C34" s="143">
        <f>Rahavood!N19-Rahavood!N63-Rahavood!N58-Rahavood!N59+Kasumiaruanne!C35+Kasumiaruanne!C36-Rahavood!N68</f>
        <v>0</v>
      </c>
      <c r="D34" s="143">
        <f>C34+Rahavood!O19-Rahavood!O63-Rahavood!O58-Rahavood!O59+Kasumiaruanne!D35+Kasumiaruanne!D36-Rahavood!O68</f>
        <v>0</v>
      </c>
      <c r="E34" s="143">
        <f>D34+Rahavood!P19-Rahavood!P63-Rahavood!P58-Rahavood!P59+Kasumiaruanne!E35+Kasumiaruanne!E36-Rahavood!P68</f>
        <v>0</v>
      </c>
      <c r="F34" s="143">
        <f>E34+Rahavood!Q19-Rahavood!Q63-Rahavood!Q58-Rahavood!Q59+Kasumiaruanne!F35+Kasumiaruanne!F36-Rahavood!Q68</f>
        <v>0</v>
      </c>
    </row>
    <row r="35" spans="1:6" x14ac:dyDescent="0.25">
      <c r="A35" s="124" t="s">
        <v>50</v>
      </c>
      <c r="B35" s="245">
        <f>SUM(B29:B34)</f>
        <v>0</v>
      </c>
      <c r="C35" s="145">
        <f>SUM(C29:C34)</f>
        <v>0</v>
      </c>
      <c r="D35" s="145">
        <f>SUM(D29:D34)</f>
        <v>0</v>
      </c>
      <c r="E35" s="145">
        <f>SUM(E29:E34)</f>
        <v>0</v>
      </c>
      <c r="F35" s="145" t="e">
        <f>SUM(F29:F34)</f>
        <v>#REF!</v>
      </c>
    </row>
    <row r="36" spans="1:6" x14ac:dyDescent="0.25">
      <c r="A36" s="129"/>
      <c r="B36" s="252"/>
      <c r="C36" s="147"/>
      <c r="D36" s="147"/>
      <c r="E36" s="147"/>
      <c r="F36" s="147"/>
    </row>
    <row r="37" spans="1:6" x14ac:dyDescent="0.25">
      <c r="A37" s="256" t="s">
        <v>172</v>
      </c>
      <c r="B37" s="244"/>
      <c r="C37" s="143">
        <f>B37+Rahavood!N21-C30</f>
        <v>0</v>
      </c>
      <c r="D37" s="143">
        <f>C37+Rahavood!O21-D30</f>
        <v>0</v>
      </c>
      <c r="E37" s="143">
        <f>D37+Rahavood!P21-E30</f>
        <v>0</v>
      </c>
      <c r="F37" s="143" t="e">
        <f>E37+Rahavood!#REF!-F30</f>
        <v>#REF!</v>
      </c>
    </row>
    <row r="38" spans="1:6" x14ac:dyDescent="0.25">
      <c r="A38" s="256" t="s">
        <v>51</v>
      </c>
      <c r="B38" s="247"/>
      <c r="C38" s="143">
        <f>C19+C20</f>
        <v>0</v>
      </c>
      <c r="D38" s="143">
        <f t="shared" ref="D38:E38" si="0">D19+D20</f>
        <v>0</v>
      </c>
      <c r="E38" s="143">
        <f t="shared" si="0"/>
        <v>0</v>
      </c>
      <c r="F38" s="146" t="e">
        <f>F19+#REF!+F20</f>
        <v>#REF!</v>
      </c>
    </row>
    <row r="39" spans="1:6" x14ac:dyDescent="0.25">
      <c r="A39" s="124" t="s">
        <v>52</v>
      </c>
      <c r="B39" s="245">
        <f>SUM(B37:B38)</f>
        <v>0</v>
      </c>
      <c r="C39" s="145">
        <f>SUM(C37:C38)</f>
        <v>0</v>
      </c>
      <c r="D39" s="145">
        <f>SUM(D37:D38)</f>
        <v>0</v>
      </c>
      <c r="E39" s="145">
        <f>SUM(E37:E38)</f>
        <v>0</v>
      </c>
      <c r="F39" s="145" t="e">
        <f>SUM(F37:F38)</f>
        <v>#REF!</v>
      </c>
    </row>
    <row r="40" spans="1:6" x14ac:dyDescent="0.25">
      <c r="A40" s="127"/>
      <c r="B40" s="248"/>
      <c r="C40" s="147"/>
      <c r="D40" s="147"/>
      <c r="E40" s="147"/>
      <c r="F40" s="147"/>
    </row>
    <row r="41" spans="1:6" x14ac:dyDescent="0.25">
      <c r="A41" s="123" t="s">
        <v>53</v>
      </c>
      <c r="B41" s="244"/>
      <c r="C41" s="143">
        <f>B41+Rahavood!N20</f>
        <v>0</v>
      </c>
      <c r="D41" s="143">
        <f>C41+Rahavood!O20</f>
        <v>0</v>
      </c>
      <c r="E41" s="143">
        <f>D41+Rahavood!P20</f>
        <v>0</v>
      </c>
      <c r="F41" s="143">
        <f>E41+Rahavood!Q20</f>
        <v>0</v>
      </c>
    </row>
    <row r="42" spans="1:6" x14ac:dyDescent="0.25">
      <c r="A42" s="123" t="s">
        <v>54</v>
      </c>
      <c r="B42" s="253"/>
      <c r="C42" s="143">
        <f>IF(B44&gt;B41*0.1,B41*0.1,IF(B44&lt;0,0,B44*0.1))</f>
        <v>0</v>
      </c>
      <c r="D42" s="143">
        <f>IF(C44&gt;C41*0.1,C41*0.1,IF(C44&lt;0,0,C44*0.1))</f>
        <v>0</v>
      </c>
      <c r="E42" s="143">
        <f>IF(D44&gt;D41*0.1,D41*0.1,IF(D44&lt;0,0,D44*0.1))</f>
        <v>0</v>
      </c>
      <c r="F42" s="143">
        <f>IF(E44&gt;E41*0.1,E41*0.1,IF(E44&lt;0,0,E44*0.1))</f>
        <v>0</v>
      </c>
    </row>
    <row r="43" spans="1:6" x14ac:dyDescent="0.25">
      <c r="A43" s="123" t="s">
        <v>55</v>
      </c>
      <c r="B43" s="244"/>
      <c r="C43" s="143">
        <f>(B44+B43-Rahavood!N69)-C42</f>
        <v>0</v>
      </c>
      <c r="D43" s="143">
        <f>(C43+C44-Rahavood!O69)-(D42-C42)</f>
        <v>0</v>
      </c>
      <c r="E43" s="143">
        <f>(D43+D44-E42+D42-Rahavood!P69)</f>
        <v>0</v>
      </c>
      <c r="F43" s="143">
        <f>(E43+E44-F42+E42-Rahavood!Q69)</f>
        <v>0</v>
      </c>
    </row>
    <row r="44" spans="1:6" x14ac:dyDescent="0.25">
      <c r="A44" s="123" t="s">
        <v>56</v>
      </c>
      <c r="B44" s="244"/>
      <c r="C44" s="143">
        <f>Kasumiaruanne!C51</f>
        <v>0</v>
      </c>
      <c r="D44" s="143">
        <f>Kasumiaruanne!D51</f>
        <v>0</v>
      </c>
      <c r="E44" s="143">
        <f>Kasumiaruanne!E51</f>
        <v>0</v>
      </c>
      <c r="F44" s="143" t="e">
        <f>Kasumiaruanne!F51</f>
        <v>#REF!</v>
      </c>
    </row>
    <row r="45" spans="1:6" x14ac:dyDescent="0.25">
      <c r="A45" s="124" t="s">
        <v>57</v>
      </c>
      <c r="B45" s="254">
        <f>SUM(B41:B44)</f>
        <v>0</v>
      </c>
      <c r="C45" s="143">
        <f>SUM(C41:C44)</f>
        <v>0</v>
      </c>
      <c r="D45" s="143">
        <f>SUM(D41:D44)</f>
        <v>0</v>
      </c>
      <c r="E45" s="143">
        <f>SUM(E41:E44)</f>
        <v>0</v>
      </c>
      <c r="F45" s="143" t="e">
        <f>SUM(F41:F44)</f>
        <v>#REF!</v>
      </c>
    </row>
    <row r="46" spans="1:6" x14ac:dyDescent="0.25">
      <c r="A46" s="130"/>
      <c r="B46" s="255"/>
      <c r="C46" s="126"/>
      <c r="D46" s="126"/>
      <c r="E46" s="126"/>
      <c r="F46" s="126"/>
    </row>
    <row r="47" spans="1:6" x14ac:dyDescent="0.25">
      <c r="A47" s="125" t="s">
        <v>58</v>
      </c>
      <c r="B47" s="249">
        <f>B35+B39+B45</f>
        <v>0</v>
      </c>
      <c r="C47" s="148">
        <f>C35+C39+C45</f>
        <v>0</v>
      </c>
      <c r="D47" s="148">
        <f>D35+D39+D45</f>
        <v>0</v>
      </c>
      <c r="E47" s="148">
        <f>E35+E39+E45</f>
        <v>0</v>
      </c>
      <c r="F47" s="148" t="e">
        <f>F35+F39+F45</f>
        <v>#REF!</v>
      </c>
    </row>
  </sheetData>
  <sheetProtection algorithmName="SHA-512" hashValue="9odFcTjhpTaIWyZjsq6YQ1MCMyNSBPgasFu2B32KkTPvLgnKTQB3DjBJjWj4WolGpREA6dM/Hfp2qZC1jt39Zg==" saltValue="LJJaDGMJ6U/MIg/i+GS2eg==" spinCount="100000" sheet="1" objects="1" scenarios="1"/>
  <phoneticPr fontId="2" type="noConversion"/>
  <pageMargins left="0.59055118110236227" right="0.74803149606299213" top="0.98425196850393704" bottom="0.98425196850393704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eht6"/>
  <dimension ref="A1:F15"/>
  <sheetViews>
    <sheetView workbookViewId="0">
      <selection activeCell="K23" sqref="K23"/>
    </sheetView>
  </sheetViews>
  <sheetFormatPr defaultRowHeight="13.2" x14ac:dyDescent="0.25"/>
  <cols>
    <col min="1" max="1" width="14.88671875" customWidth="1"/>
    <col min="2" max="2" width="12.88671875" hidden="1" customWidth="1"/>
    <col min="3" max="5" width="10.44140625" customWidth="1"/>
    <col min="6" max="6" width="10.44140625" hidden="1" customWidth="1"/>
  </cols>
  <sheetData>
    <row r="1" spans="1:6" x14ac:dyDescent="0.25">
      <c r="C1" s="293" t="s">
        <v>101</v>
      </c>
      <c r="D1" s="293"/>
      <c r="E1" s="293"/>
      <c r="F1" s="293"/>
    </row>
    <row r="2" spans="1:6" ht="21" x14ac:dyDescent="0.25">
      <c r="B2" s="22" t="s">
        <v>112</v>
      </c>
      <c r="C2" s="1" t="str">
        <f>Rahavood!N2</f>
        <v>1. aasta</v>
      </c>
      <c r="D2" t="str">
        <f>Rahavood!O2</f>
        <v>2.aasta</v>
      </c>
      <c r="E2" t="str">
        <f>Rahavood!P2</f>
        <v>3.aasta</v>
      </c>
      <c r="F2" t="str">
        <f>Rahavood!Q2</f>
        <v>4. aasta</v>
      </c>
    </row>
    <row r="3" spans="1:6" x14ac:dyDescent="0.25">
      <c r="A3" s="29">
        <f>Rahavood!B2</f>
        <v>45292</v>
      </c>
      <c r="B3" s="186"/>
      <c r="C3" s="186"/>
      <c r="D3" s="186"/>
      <c r="E3" s="186"/>
      <c r="F3" s="186"/>
    </row>
    <row r="4" spans="1:6" x14ac:dyDescent="0.25">
      <c r="A4" s="29">
        <f>Rahavood!C2</f>
        <v>45351</v>
      </c>
      <c r="B4" s="186"/>
      <c r="C4" s="186"/>
      <c r="D4" s="186"/>
      <c r="E4" s="186"/>
      <c r="F4" s="186"/>
    </row>
    <row r="5" spans="1:6" x14ac:dyDescent="0.25">
      <c r="A5" s="29">
        <f>Rahavood!D2</f>
        <v>45382</v>
      </c>
      <c r="B5" s="186"/>
      <c r="C5" s="186"/>
      <c r="D5" s="186"/>
      <c r="E5" s="186"/>
      <c r="F5" s="186"/>
    </row>
    <row r="6" spans="1:6" x14ac:dyDescent="0.25">
      <c r="A6" s="29">
        <f>Rahavood!E2</f>
        <v>45412</v>
      </c>
      <c r="B6" s="186"/>
      <c r="C6" s="186"/>
      <c r="D6" s="186"/>
      <c r="E6" s="186"/>
      <c r="F6" s="186"/>
    </row>
    <row r="7" spans="1:6" x14ac:dyDescent="0.25">
      <c r="A7" s="29">
        <f>Rahavood!F2</f>
        <v>45443</v>
      </c>
      <c r="B7" s="186"/>
      <c r="C7" s="186"/>
      <c r="D7" s="186"/>
      <c r="E7" s="186"/>
      <c r="F7" s="186"/>
    </row>
    <row r="8" spans="1:6" x14ac:dyDescent="0.25">
      <c r="A8" s="29">
        <f>Rahavood!G2</f>
        <v>45473</v>
      </c>
      <c r="B8" s="186"/>
      <c r="C8" s="186"/>
      <c r="D8" s="186"/>
      <c r="E8" s="186"/>
      <c r="F8" s="186"/>
    </row>
    <row r="9" spans="1:6" x14ac:dyDescent="0.25">
      <c r="A9" s="29">
        <f>Rahavood!H2</f>
        <v>45504</v>
      </c>
      <c r="B9" s="186"/>
      <c r="C9" s="186"/>
      <c r="D9" s="186"/>
      <c r="E9" s="186"/>
      <c r="F9" s="186"/>
    </row>
    <row r="10" spans="1:6" x14ac:dyDescent="0.25">
      <c r="A10" s="29">
        <f>Rahavood!I2</f>
        <v>45535</v>
      </c>
      <c r="B10" s="186"/>
      <c r="C10" s="186"/>
      <c r="D10" s="208"/>
      <c r="E10" s="186"/>
      <c r="F10" s="186"/>
    </row>
    <row r="11" spans="1:6" x14ac:dyDescent="0.25">
      <c r="A11" s="29">
        <f>Rahavood!J2</f>
        <v>45565</v>
      </c>
      <c r="B11" s="186"/>
      <c r="C11" s="186"/>
      <c r="D11" s="186"/>
      <c r="E11" s="208"/>
      <c r="F11" s="186"/>
    </row>
    <row r="12" spans="1:6" x14ac:dyDescent="0.25">
      <c r="A12" s="29">
        <f>Rahavood!K2</f>
        <v>45596</v>
      </c>
      <c r="B12" s="186"/>
      <c r="C12" s="186"/>
      <c r="D12" s="186"/>
      <c r="E12" s="186"/>
      <c r="F12" s="186"/>
    </row>
    <row r="13" spans="1:6" x14ac:dyDescent="0.25">
      <c r="A13" s="29">
        <f>Rahavood!L2</f>
        <v>45626</v>
      </c>
      <c r="B13" s="186"/>
      <c r="C13" s="186"/>
      <c r="D13" s="186"/>
      <c r="E13" s="186"/>
      <c r="F13" s="186"/>
    </row>
    <row r="14" spans="1:6" x14ac:dyDescent="0.25">
      <c r="A14" s="29">
        <f>Rahavood!M2</f>
        <v>45657</v>
      </c>
      <c r="B14" s="186"/>
      <c r="C14" s="186"/>
      <c r="D14" s="186"/>
      <c r="E14" s="186"/>
      <c r="F14" s="186"/>
    </row>
    <row r="15" spans="1:6" x14ac:dyDescent="0.25">
      <c r="B15" t="e">
        <f>AVERAGE(B3:B14)</f>
        <v>#DIV/0!</v>
      </c>
      <c r="C15" s="207" t="e">
        <f>AVERAGE(C3:C14)</f>
        <v>#DIV/0!</v>
      </c>
      <c r="D15" s="207" t="e">
        <f>AVERAGE(D3:D14)</f>
        <v>#DIV/0!</v>
      </c>
      <c r="E15" s="207" t="e">
        <f>AVERAGE(E3:E14)</f>
        <v>#DIV/0!</v>
      </c>
      <c r="F15" s="207" t="e">
        <f>AVERAGE(F3:F14)</f>
        <v>#DIV/0!</v>
      </c>
    </row>
  </sheetData>
  <sheetProtection algorithmName="SHA-512" hashValue="AODYXl53VDPWW5lkJj0tsUD6YmIXvHRxhw0NX5BwBTeEtQXQmrJv902wQ9NOGVSHI/qk0k4482WU7boQ9r/9+Q==" saltValue="ZDvYdpyV9lb3kpr9CJIUqA==" spinCount="100000" sheet="1" scenarios="1"/>
  <mergeCells count="1">
    <mergeCell ref="C1:F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6</vt:i4>
      </vt:variant>
      <vt:variant>
        <vt:lpstr>Nimega vahemikud</vt:lpstr>
      </vt:variant>
      <vt:variant>
        <vt:i4>9</vt:i4>
      </vt:variant>
    </vt:vector>
  </HeadingPairs>
  <TitlesOfParts>
    <vt:vector size="15" baseType="lpstr">
      <vt:lpstr>Alusta siit!</vt:lpstr>
      <vt:lpstr>Tooted</vt:lpstr>
      <vt:lpstr>Rahavood</vt:lpstr>
      <vt:lpstr>Kasumiaruanne</vt:lpstr>
      <vt:lpstr>Bilanss</vt:lpstr>
      <vt:lpstr>Töötajad</vt:lpstr>
      <vt:lpstr>kohu1</vt:lpstr>
      <vt:lpstr>kohu2</vt:lpstr>
      <vt:lpstr>Kasumiaruanne!Prindiala</vt:lpstr>
      <vt:lpstr>Rahavood!Prindiala</vt:lpstr>
      <vt:lpstr>Tooted!Prindiala</vt:lpstr>
      <vt:lpstr>Rahavood!Prinditiitlid</vt:lpstr>
      <vt:lpstr>Tooted!Prinditiitlid</vt:lpstr>
      <vt:lpstr>raha1</vt:lpstr>
      <vt:lpstr>raha2</vt:lpstr>
    </vt:vector>
  </TitlesOfParts>
  <Company>Ettevõtluse Arenduse Sihtasutus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Margit Karu</dc:creator>
  <cp:lastModifiedBy>Rando Lai</cp:lastModifiedBy>
  <cp:lastPrinted>2019-06-05T09:53:59Z</cp:lastPrinted>
  <dcterms:created xsi:type="dcterms:W3CDTF">2004-12-15T09:01:57Z</dcterms:created>
  <dcterms:modified xsi:type="dcterms:W3CDTF">2024-04-05T04:05:46Z</dcterms:modified>
</cp:coreProperties>
</file>